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51da6bc47b726d94/EXCEL_OneDrive/Melleklet/"/>
    </mc:Choice>
  </mc:AlternateContent>
  <xr:revisionPtr revIDLastSave="1016" documentId="11_46B1ABDF2855D53EED4716FF99E1D8AEE7B9A000" xr6:coauthVersionLast="47" xr6:coauthVersionMax="47" xr10:uidLastSave="{36176FBC-8C37-4CA6-8EC9-23E8E84CDC5B}"/>
  <bookViews>
    <workbookView xWindow="3900" yWindow="285" windowWidth="28305" windowHeight="23115" xr2:uid="{00000000-000D-0000-FFFF-FFFF00000000}"/>
  </bookViews>
  <sheets>
    <sheet name="Rendelés" sheetId="3" r:id="rId1"/>
    <sheet name="Rendelés_számítások_megoldás" sheetId="2" r:id="rId2"/>
    <sheet name="Rendelés_formázás_megoldás" sheetId="4" r:id="rId3"/>
    <sheet name="Rendelés_rendezés_megoldás" sheetId="5" r:id="rId4"/>
    <sheet name="Rendelés_szűrés_megoldás" sheetId="11" r:id="rId5"/>
  </sheets>
  <definedNames>
    <definedName name="minimum" localSheetId="2">Rendelés_formázás_megoldás!$Q$5</definedName>
    <definedName name="minimum" localSheetId="3">Rendelés_rendezés_megoldás!$R$5</definedName>
    <definedName name="minimum" localSheetId="4">Rendelés_szűrés_megoldás!$R$5</definedName>
    <definedName name="minimum">Rendelés_számítások_megoldás!$Q$5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1" l="1"/>
  <c r="O51" i="11" s="1"/>
  <c r="K51" i="11"/>
  <c r="J51" i="11"/>
  <c r="G51" i="11"/>
  <c r="D51" i="11"/>
  <c r="C51" i="11"/>
  <c r="N50" i="11"/>
  <c r="O50" i="11" s="1"/>
  <c r="K50" i="11"/>
  <c r="J50" i="11"/>
  <c r="G50" i="11"/>
  <c r="D50" i="11"/>
  <c r="C50" i="11"/>
  <c r="N49" i="11"/>
  <c r="O49" i="11" s="1"/>
  <c r="K49" i="11"/>
  <c r="J49" i="11"/>
  <c r="G49" i="11"/>
  <c r="D49" i="11"/>
  <c r="C49" i="11"/>
  <c r="N48" i="11"/>
  <c r="O48" i="11" s="1"/>
  <c r="K48" i="11"/>
  <c r="J48" i="11"/>
  <c r="G48" i="11"/>
  <c r="D48" i="11"/>
  <c r="C48" i="11"/>
  <c r="N47" i="11"/>
  <c r="O47" i="11" s="1"/>
  <c r="K47" i="11"/>
  <c r="J47" i="11"/>
  <c r="G47" i="11"/>
  <c r="D47" i="11"/>
  <c r="C47" i="11"/>
  <c r="N46" i="11"/>
  <c r="O46" i="11" s="1"/>
  <c r="K46" i="11"/>
  <c r="J46" i="11"/>
  <c r="G46" i="11"/>
  <c r="D46" i="11"/>
  <c r="C46" i="11"/>
  <c r="N45" i="11"/>
  <c r="O45" i="11" s="1"/>
  <c r="K45" i="11"/>
  <c r="J45" i="11"/>
  <c r="G45" i="11"/>
  <c r="D45" i="11"/>
  <c r="C45" i="11"/>
  <c r="N44" i="11"/>
  <c r="O44" i="11" s="1"/>
  <c r="K44" i="11"/>
  <c r="J44" i="11"/>
  <c r="G44" i="11"/>
  <c r="D44" i="11"/>
  <c r="C44" i="11"/>
  <c r="N43" i="11"/>
  <c r="O43" i="11" s="1"/>
  <c r="K43" i="11"/>
  <c r="J43" i="11"/>
  <c r="G43" i="11"/>
  <c r="D43" i="11"/>
  <c r="C43" i="11"/>
  <c r="N42" i="11"/>
  <c r="O42" i="11" s="1"/>
  <c r="K42" i="11"/>
  <c r="J42" i="11"/>
  <c r="G42" i="11"/>
  <c r="D42" i="11"/>
  <c r="C42" i="11"/>
  <c r="O41" i="11"/>
  <c r="N41" i="11"/>
  <c r="K41" i="11"/>
  <c r="J41" i="11"/>
  <c r="G41" i="11"/>
  <c r="D41" i="11"/>
  <c r="C41" i="11"/>
  <c r="N40" i="11"/>
  <c r="O40" i="11" s="1"/>
  <c r="K40" i="11"/>
  <c r="J40" i="11"/>
  <c r="G40" i="11"/>
  <c r="D40" i="11"/>
  <c r="C40" i="11"/>
  <c r="N39" i="11"/>
  <c r="O39" i="11" s="1"/>
  <c r="K39" i="11"/>
  <c r="J39" i="11"/>
  <c r="G39" i="11"/>
  <c r="D39" i="11"/>
  <c r="C39" i="11"/>
  <c r="N38" i="11"/>
  <c r="O38" i="11" s="1"/>
  <c r="K38" i="11"/>
  <c r="J38" i="11"/>
  <c r="G38" i="11"/>
  <c r="D38" i="11"/>
  <c r="C38" i="11"/>
  <c r="N37" i="11"/>
  <c r="O37" i="11" s="1"/>
  <c r="K37" i="11"/>
  <c r="J37" i="11"/>
  <c r="G37" i="11"/>
  <c r="D37" i="11"/>
  <c r="C37" i="11"/>
  <c r="N36" i="11"/>
  <c r="O36" i="11" s="1"/>
  <c r="K36" i="11"/>
  <c r="J36" i="11"/>
  <c r="G36" i="11"/>
  <c r="D36" i="11"/>
  <c r="C36" i="11"/>
  <c r="N35" i="11"/>
  <c r="O35" i="11" s="1"/>
  <c r="K35" i="11"/>
  <c r="J35" i="11"/>
  <c r="G35" i="11"/>
  <c r="D35" i="11"/>
  <c r="C35" i="11"/>
  <c r="N34" i="11"/>
  <c r="O34" i="11" s="1"/>
  <c r="K34" i="11"/>
  <c r="J34" i="11"/>
  <c r="G34" i="11"/>
  <c r="D34" i="11"/>
  <c r="C34" i="11"/>
  <c r="N33" i="11"/>
  <c r="O33" i="11" s="1"/>
  <c r="K33" i="11"/>
  <c r="J33" i="11"/>
  <c r="G33" i="11"/>
  <c r="D33" i="11"/>
  <c r="C33" i="11"/>
  <c r="N32" i="11"/>
  <c r="O32" i="11" s="1"/>
  <c r="K32" i="11"/>
  <c r="J32" i="11"/>
  <c r="G32" i="11"/>
  <c r="D32" i="11"/>
  <c r="C32" i="11"/>
  <c r="N31" i="11"/>
  <c r="O31" i="11" s="1"/>
  <c r="K31" i="11"/>
  <c r="J31" i="11"/>
  <c r="G31" i="11"/>
  <c r="D31" i="11"/>
  <c r="C31" i="11"/>
  <c r="N30" i="11"/>
  <c r="O30" i="11" s="1"/>
  <c r="K30" i="11"/>
  <c r="J30" i="11"/>
  <c r="G30" i="11"/>
  <c r="D30" i="11"/>
  <c r="C30" i="11"/>
  <c r="N29" i="11"/>
  <c r="O29" i="11" s="1"/>
  <c r="K29" i="11"/>
  <c r="J29" i="11"/>
  <c r="G29" i="11"/>
  <c r="D29" i="11"/>
  <c r="C29" i="11"/>
  <c r="N28" i="11"/>
  <c r="O28" i="11" s="1"/>
  <c r="K28" i="11"/>
  <c r="J28" i="11"/>
  <c r="G28" i="11"/>
  <c r="D28" i="11"/>
  <c r="C28" i="11"/>
  <c r="N27" i="11"/>
  <c r="O27" i="11" s="1"/>
  <c r="K27" i="11"/>
  <c r="J27" i="11"/>
  <c r="G27" i="11"/>
  <c r="D27" i="11"/>
  <c r="C27" i="11"/>
  <c r="N26" i="11"/>
  <c r="O26" i="11" s="1"/>
  <c r="K26" i="11"/>
  <c r="J26" i="11"/>
  <c r="G26" i="11"/>
  <c r="D26" i="11"/>
  <c r="C26" i="11"/>
  <c r="N25" i="11"/>
  <c r="O25" i="11" s="1"/>
  <c r="K25" i="11"/>
  <c r="J25" i="11"/>
  <c r="G25" i="11"/>
  <c r="D25" i="11"/>
  <c r="C25" i="11"/>
  <c r="N24" i="11"/>
  <c r="O24" i="11" s="1"/>
  <c r="K24" i="11"/>
  <c r="J24" i="11"/>
  <c r="G24" i="11"/>
  <c r="D24" i="11"/>
  <c r="C24" i="11"/>
  <c r="N23" i="11"/>
  <c r="O23" i="11" s="1"/>
  <c r="K23" i="11"/>
  <c r="J23" i="11"/>
  <c r="G23" i="11"/>
  <c r="D23" i="11"/>
  <c r="C23" i="11"/>
  <c r="N22" i="11"/>
  <c r="O22" i="11" s="1"/>
  <c r="K22" i="11"/>
  <c r="J22" i="11"/>
  <c r="G22" i="11"/>
  <c r="D22" i="11"/>
  <c r="C22" i="11"/>
  <c r="N21" i="11"/>
  <c r="O21" i="11" s="1"/>
  <c r="K21" i="11"/>
  <c r="J21" i="11"/>
  <c r="G21" i="11"/>
  <c r="D21" i="11"/>
  <c r="C21" i="11"/>
  <c r="N20" i="11"/>
  <c r="O20" i="11" s="1"/>
  <c r="K20" i="11"/>
  <c r="J20" i="11"/>
  <c r="G20" i="11"/>
  <c r="D20" i="11"/>
  <c r="C20" i="11"/>
  <c r="N19" i="11"/>
  <c r="O19" i="11" s="1"/>
  <c r="K19" i="11"/>
  <c r="J19" i="11"/>
  <c r="G19" i="11"/>
  <c r="D19" i="11"/>
  <c r="C19" i="11"/>
  <c r="N18" i="11"/>
  <c r="O18" i="11" s="1"/>
  <c r="K18" i="11"/>
  <c r="J18" i="11"/>
  <c r="G18" i="11"/>
  <c r="D18" i="11"/>
  <c r="C18" i="11"/>
  <c r="O17" i="11"/>
  <c r="N17" i="11"/>
  <c r="K17" i="11"/>
  <c r="J17" i="11"/>
  <c r="G17" i="11"/>
  <c r="D17" i="11"/>
  <c r="C17" i="11"/>
  <c r="N16" i="11"/>
  <c r="O16" i="11" s="1"/>
  <c r="K16" i="11"/>
  <c r="J16" i="11"/>
  <c r="G16" i="11"/>
  <c r="D16" i="11"/>
  <c r="C16" i="11"/>
  <c r="N15" i="11"/>
  <c r="O15" i="11" s="1"/>
  <c r="K15" i="11"/>
  <c r="J15" i="11"/>
  <c r="G15" i="11"/>
  <c r="D15" i="11"/>
  <c r="C15" i="11"/>
  <c r="N14" i="11"/>
  <c r="O14" i="11" s="1"/>
  <c r="K14" i="11"/>
  <c r="J14" i="11"/>
  <c r="G14" i="11"/>
  <c r="D14" i="11"/>
  <c r="C14" i="11"/>
  <c r="N13" i="11"/>
  <c r="O13" i="11" s="1"/>
  <c r="K13" i="11"/>
  <c r="J13" i="11"/>
  <c r="G13" i="11"/>
  <c r="D13" i="11"/>
  <c r="C13" i="11"/>
  <c r="N12" i="11"/>
  <c r="O12" i="11" s="1"/>
  <c r="K12" i="11"/>
  <c r="J12" i="11"/>
  <c r="G12" i="11"/>
  <c r="D12" i="11"/>
  <c r="C12" i="11"/>
  <c r="N11" i="11"/>
  <c r="O11" i="11" s="1"/>
  <c r="K11" i="11"/>
  <c r="J11" i="11"/>
  <c r="G11" i="11"/>
  <c r="D11" i="11"/>
  <c r="C11" i="11"/>
  <c r="N10" i="11"/>
  <c r="O10" i="11" s="1"/>
  <c r="K10" i="11"/>
  <c r="J10" i="11"/>
  <c r="G10" i="11"/>
  <c r="D10" i="11"/>
  <c r="C10" i="11"/>
  <c r="N9" i="11"/>
  <c r="O9" i="11" s="1"/>
  <c r="K9" i="11"/>
  <c r="J9" i="11"/>
  <c r="G9" i="11"/>
  <c r="D9" i="11"/>
  <c r="C9" i="11"/>
  <c r="O8" i="11"/>
  <c r="N8" i="11"/>
  <c r="K8" i="11"/>
  <c r="J8" i="11"/>
  <c r="G8" i="11"/>
  <c r="D8" i="11"/>
  <c r="C8" i="11"/>
  <c r="N7" i="11"/>
  <c r="O7" i="11" s="1"/>
  <c r="K7" i="11"/>
  <c r="J7" i="11"/>
  <c r="G7" i="11"/>
  <c r="D7" i="11"/>
  <c r="C7" i="11"/>
  <c r="N6" i="11"/>
  <c r="O6" i="11" s="1"/>
  <c r="K6" i="11"/>
  <c r="J6" i="11"/>
  <c r="G6" i="11"/>
  <c r="D6" i="11"/>
  <c r="C6" i="11"/>
  <c r="N5" i="11"/>
  <c r="O5" i="11" s="1"/>
  <c r="K5" i="11"/>
  <c r="J5" i="11"/>
  <c r="G5" i="11"/>
  <c r="D5" i="11"/>
  <c r="C5" i="11"/>
  <c r="N4" i="11"/>
  <c r="O4" i="11" s="1"/>
  <c r="K4" i="11"/>
  <c r="J4" i="11"/>
  <c r="G4" i="11"/>
  <c r="D4" i="11"/>
  <c r="C4" i="11"/>
  <c r="O3" i="11"/>
  <c r="N3" i="11"/>
  <c r="K3" i="11"/>
  <c r="J3" i="11"/>
  <c r="G3" i="11"/>
  <c r="D3" i="11"/>
  <c r="C3" i="11"/>
  <c r="N2" i="11"/>
  <c r="O2" i="11" s="1"/>
  <c r="K2" i="11"/>
  <c r="J2" i="11"/>
  <c r="G2" i="11"/>
  <c r="D2" i="11"/>
  <c r="C2" i="11"/>
  <c r="N36" i="5"/>
  <c r="O36" i="5" s="1"/>
  <c r="K36" i="5"/>
  <c r="J36" i="5"/>
  <c r="G36" i="5"/>
  <c r="D36" i="5"/>
  <c r="C36" i="5"/>
  <c r="N15" i="5"/>
  <c r="O15" i="5" s="1"/>
  <c r="K15" i="5"/>
  <c r="J15" i="5"/>
  <c r="G15" i="5"/>
  <c r="D15" i="5"/>
  <c r="C15" i="5"/>
  <c r="N34" i="5"/>
  <c r="O34" i="5" s="1"/>
  <c r="K34" i="5"/>
  <c r="J34" i="5"/>
  <c r="G34" i="5"/>
  <c r="D34" i="5"/>
  <c r="C34" i="5"/>
  <c r="N9" i="5"/>
  <c r="O9" i="5" s="1"/>
  <c r="K9" i="5"/>
  <c r="J9" i="5"/>
  <c r="G9" i="5"/>
  <c r="D9" i="5"/>
  <c r="C9" i="5"/>
  <c r="N6" i="5"/>
  <c r="O6" i="5" s="1"/>
  <c r="K6" i="5"/>
  <c r="J6" i="5"/>
  <c r="G6" i="5"/>
  <c r="D6" i="5"/>
  <c r="C6" i="5"/>
  <c r="N5" i="5"/>
  <c r="O5" i="5" s="1"/>
  <c r="K5" i="5"/>
  <c r="J5" i="5"/>
  <c r="G5" i="5"/>
  <c r="D5" i="5"/>
  <c r="C5" i="5"/>
  <c r="N50" i="5"/>
  <c r="O50" i="5" s="1"/>
  <c r="K50" i="5"/>
  <c r="J50" i="5"/>
  <c r="G50" i="5"/>
  <c r="D50" i="5"/>
  <c r="C50" i="5"/>
  <c r="N41" i="5"/>
  <c r="O41" i="5" s="1"/>
  <c r="K41" i="5"/>
  <c r="J41" i="5"/>
  <c r="G41" i="5"/>
  <c r="D41" i="5"/>
  <c r="C41" i="5"/>
  <c r="N25" i="5"/>
  <c r="O25" i="5" s="1"/>
  <c r="K25" i="5"/>
  <c r="J25" i="5"/>
  <c r="G25" i="5"/>
  <c r="D25" i="5"/>
  <c r="C25" i="5"/>
  <c r="N46" i="5"/>
  <c r="O46" i="5" s="1"/>
  <c r="K46" i="5"/>
  <c r="J46" i="5"/>
  <c r="G46" i="5"/>
  <c r="D46" i="5"/>
  <c r="C46" i="5"/>
  <c r="N28" i="5"/>
  <c r="O28" i="5" s="1"/>
  <c r="K28" i="5"/>
  <c r="J28" i="5"/>
  <c r="G28" i="5"/>
  <c r="D28" i="5"/>
  <c r="C28" i="5"/>
  <c r="N13" i="5"/>
  <c r="O13" i="5" s="1"/>
  <c r="K13" i="5"/>
  <c r="J13" i="5"/>
  <c r="G13" i="5"/>
  <c r="D13" i="5"/>
  <c r="C13" i="5"/>
  <c r="N27" i="5"/>
  <c r="O27" i="5" s="1"/>
  <c r="K27" i="5"/>
  <c r="J27" i="5"/>
  <c r="G27" i="5"/>
  <c r="D27" i="5"/>
  <c r="C27" i="5"/>
  <c r="N39" i="5"/>
  <c r="O39" i="5" s="1"/>
  <c r="K39" i="5"/>
  <c r="J39" i="5"/>
  <c r="G39" i="5"/>
  <c r="D39" i="5"/>
  <c r="C39" i="5"/>
  <c r="N44" i="5"/>
  <c r="O44" i="5" s="1"/>
  <c r="K44" i="5"/>
  <c r="J44" i="5"/>
  <c r="G44" i="5"/>
  <c r="D44" i="5"/>
  <c r="C44" i="5"/>
  <c r="N30" i="5"/>
  <c r="O30" i="5" s="1"/>
  <c r="K30" i="5"/>
  <c r="J30" i="5"/>
  <c r="G30" i="5"/>
  <c r="D30" i="5"/>
  <c r="C30" i="5"/>
  <c r="N7" i="5"/>
  <c r="O7" i="5" s="1"/>
  <c r="K7" i="5"/>
  <c r="J7" i="5"/>
  <c r="G7" i="5"/>
  <c r="D7" i="5"/>
  <c r="C7" i="5"/>
  <c r="N49" i="5"/>
  <c r="O49" i="5" s="1"/>
  <c r="K49" i="5"/>
  <c r="J49" i="5"/>
  <c r="G49" i="5"/>
  <c r="D49" i="5"/>
  <c r="C49" i="5"/>
  <c r="N21" i="5"/>
  <c r="O21" i="5" s="1"/>
  <c r="K21" i="5"/>
  <c r="J21" i="5"/>
  <c r="G21" i="5"/>
  <c r="D21" i="5"/>
  <c r="C21" i="5"/>
  <c r="N38" i="5"/>
  <c r="O38" i="5" s="1"/>
  <c r="K38" i="5"/>
  <c r="J38" i="5"/>
  <c r="G38" i="5"/>
  <c r="D38" i="5"/>
  <c r="C38" i="5"/>
  <c r="N18" i="5"/>
  <c r="O18" i="5" s="1"/>
  <c r="K18" i="5"/>
  <c r="J18" i="5"/>
  <c r="G18" i="5"/>
  <c r="D18" i="5"/>
  <c r="C18" i="5"/>
  <c r="N16" i="5"/>
  <c r="O16" i="5" s="1"/>
  <c r="K16" i="5"/>
  <c r="J16" i="5"/>
  <c r="G16" i="5"/>
  <c r="D16" i="5"/>
  <c r="C16" i="5"/>
  <c r="N29" i="5"/>
  <c r="O29" i="5" s="1"/>
  <c r="K29" i="5"/>
  <c r="J29" i="5"/>
  <c r="G29" i="5"/>
  <c r="D29" i="5"/>
  <c r="C29" i="5"/>
  <c r="N11" i="5"/>
  <c r="O11" i="5" s="1"/>
  <c r="K11" i="5"/>
  <c r="J11" i="5"/>
  <c r="G11" i="5"/>
  <c r="D11" i="5"/>
  <c r="C11" i="5"/>
  <c r="N14" i="5"/>
  <c r="O14" i="5" s="1"/>
  <c r="K14" i="5"/>
  <c r="J14" i="5"/>
  <c r="G14" i="5"/>
  <c r="D14" i="5"/>
  <c r="C14" i="5"/>
  <c r="N12" i="5"/>
  <c r="O12" i="5" s="1"/>
  <c r="K12" i="5"/>
  <c r="J12" i="5"/>
  <c r="G12" i="5"/>
  <c r="D12" i="5"/>
  <c r="C12" i="5"/>
  <c r="N42" i="5"/>
  <c r="O42" i="5" s="1"/>
  <c r="K42" i="5"/>
  <c r="J42" i="5"/>
  <c r="G42" i="5"/>
  <c r="D42" i="5"/>
  <c r="C42" i="5"/>
  <c r="N3" i="5"/>
  <c r="O3" i="5" s="1"/>
  <c r="K3" i="5"/>
  <c r="J3" i="5"/>
  <c r="G3" i="5"/>
  <c r="D3" i="5"/>
  <c r="C3" i="5"/>
  <c r="N32" i="5"/>
  <c r="O32" i="5" s="1"/>
  <c r="K32" i="5"/>
  <c r="J32" i="5"/>
  <c r="G32" i="5"/>
  <c r="D32" i="5"/>
  <c r="C32" i="5"/>
  <c r="N20" i="5"/>
  <c r="O20" i="5" s="1"/>
  <c r="K20" i="5"/>
  <c r="J20" i="5"/>
  <c r="G20" i="5"/>
  <c r="D20" i="5"/>
  <c r="C20" i="5"/>
  <c r="N2" i="5"/>
  <c r="O2" i="5" s="1"/>
  <c r="K2" i="5"/>
  <c r="J2" i="5"/>
  <c r="G2" i="5"/>
  <c r="D2" i="5"/>
  <c r="C2" i="5"/>
  <c r="N48" i="5"/>
  <c r="O48" i="5" s="1"/>
  <c r="K48" i="5"/>
  <c r="J48" i="5"/>
  <c r="G48" i="5"/>
  <c r="D48" i="5"/>
  <c r="C48" i="5"/>
  <c r="N43" i="5"/>
  <c r="O43" i="5" s="1"/>
  <c r="K43" i="5"/>
  <c r="J43" i="5"/>
  <c r="G43" i="5"/>
  <c r="D43" i="5"/>
  <c r="C43" i="5"/>
  <c r="N40" i="5"/>
  <c r="O40" i="5" s="1"/>
  <c r="K40" i="5"/>
  <c r="J40" i="5"/>
  <c r="G40" i="5"/>
  <c r="D40" i="5"/>
  <c r="C40" i="5"/>
  <c r="N45" i="5"/>
  <c r="O45" i="5" s="1"/>
  <c r="K45" i="5"/>
  <c r="J45" i="5"/>
  <c r="G45" i="5"/>
  <c r="D45" i="5"/>
  <c r="C45" i="5"/>
  <c r="N47" i="5"/>
  <c r="O47" i="5" s="1"/>
  <c r="K47" i="5"/>
  <c r="J47" i="5"/>
  <c r="G47" i="5"/>
  <c r="D47" i="5"/>
  <c r="C47" i="5"/>
  <c r="N35" i="5"/>
  <c r="O35" i="5" s="1"/>
  <c r="K35" i="5"/>
  <c r="J35" i="5"/>
  <c r="G35" i="5"/>
  <c r="D35" i="5"/>
  <c r="C35" i="5"/>
  <c r="N23" i="5"/>
  <c r="O23" i="5" s="1"/>
  <c r="K23" i="5"/>
  <c r="J23" i="5"/>
  <c r="G23" i="5"/>
  <c r="D23" i="5"/>
  <c r="C23" i="5"/>
  <c r="N22" i="5"/>
  <c r="O22" i="5" s="1"/>
  <c r="K22" i="5"/>
  <c r="J22" i="5"/>
  <c r="G22" i="5"/>
  <c r="D22" i="5"/>
  <c r="C22" i="5"/>
  <c r="N33" i="5"/>
  <c r="O33" i="5" s="1"/>
  <c r="K33" i="5"/>
  <c r="J33" i="5"/>
  <c r="G33" i="5"/>
  <c r="D33" i="5"/>
  <c r="C33" i="5"/>
  <c r="N17" i="5"/>
  <c r="O17" i="5" s="1"/>
  <c r="K17" i="5"/>
  <c r="J17" i="5"/>
  <c r="G17" i="5"/>
  <c r="D17" i="5"/>
  <c r="C17" i="5"/>
  <c r="N26" i="5"/>
  <c r="O26" i="5" s="1"/>
  <c r="K26" i="5"/>
  <c r="J26" i="5"/>
  <c r="G26" i="5"/>
  <c r="D26" i="5"/>
  <c r="C26" i="5"/>
  <c r="N31" i="5"/>
  <c r="O31" i="5" s="1"/>
  <c r="K31" i="5"/>
  <c r="J31" i="5"/>
  <c r="G31" i="5"/>
  <c r="D31" i="5"/>
  <c r="C31" i="5"/>
  <c r="N19" i="5"/>
  <c r="O19" i="5" s="1"/>
  <c r="K19" i="5"/>
  <c r="J19" i="5"/>
  <c r="G19" i="5"/>
  <c r="D19" i="5"/>
  <c r="C19" i="5"/>
  <c r="N51" i="5"/>
  <c r="O51" i="5" s="1"/>
  <c r="K51" i="5"/>
  <c r="J51" i="5"/>
  <c r="G51" i="5"/>
  <c r="D51" i="5"/>
  <c r="C51" i="5"/>
  <c r="N8" i="5"/>
  <c r="O8" i="5" s="1"/>
  <c r="K8" i="5"/>
  <c r="J8" i="5"/>
  <c r="G8" i="5"/>
  <c r="D8" i="5"/>
  <c r="C8" i="5"/>
  <c r="N10" i="5"/>
  <c r="O10" i="5" s="1"/>
  <c r="K10" i="5"/>
  <c r="J10" i="5"/>
  <c r="G10" i="5"/>
  <c r="D10" i="5"/>
  <c r="C10" i="5"/>
  <c r="N37" i="5"/>
  <c r="O37" i="5" s="1"/>
  <c r="K37" i="5"/>
  <c r="J37" i="5"/>
  <c r="G37" i="5"/>
  <c r="D37" i="5"/>
  <c r="C37" i="5"/>
  <c r="N4" i="5"/>
  <c r="O4" i="5" s="1"/>
  <c r="K4" i="5"/>
  <c r="J4" i="5"/>
  <c r="G4" i="5"/>
  <c r="D4" i="5"/>
  <c r="C4" i="5"/>
  <c r="N24" i="5"/>
  <c r="O24" i="5" s="1"/>
  <c r="K24" i="5"/>
  <c r="J24" i="5"/>
  <c r="G24" i="5"/>
  <c r="D24" i="5"/>
  <c r="C24" i="5"/>
  <c r="N51" i="4"/>
  <c r="M51" i="4"/>
  <c r="J51" i="4"/>
  <c r="I51" i="4"/>
  <c r="F51" i="4"/>
  <c r="D51" i="4"/>
  <c r="C51" i="4"/>
  <c r="N50" i="4"/>
  <c r="M50" i="4"/>
  <c r="J50" i="4"/>
  <c r="I50" i="4"/>
  <c r="F50" i="4"/>
  <c r="D50" i="4"/>
  <c r="C50" i="4"/>
  <c r="M49" i="4"/>
  <c r="N49" i="4" s="1"/>
  <c r="J49" i="4"/>
  <c r="I49" i="4"/>
  <c r="F49" i="4"/>
  <c r="D49" i="4"/>
  <c r="C49" i="4"/>
  <c r="N48" i="4"/>
  <c r="M48" i="4"/>
  <c r="J48" i="4"/>
  <c r="I48" i="4"/>
  <c r="F48" i="4"/>
  <c r="D48" i="4"/>
  <c r="C48" i="4"/>
  <c r="M47" i="4"/>
  <c r="N47" i="4" s="1"/>
  <c r="J47" i="4"/>
  <c r="I47" i="4"/>
  <c r="F47" i="4"/>
  <c r="D47" i="4"/>
  <c r="C47" i="4"/>
  <c r="M46" i="4"/>
  <c r="N46" i="4" s="1"/>
  <c r="J46" i="4"/>
  <c r="I46" i="4"/>
  <c r="F46" i="4"/>
  <c r="D46" i="4"/>
  <c r="C46" i="4"/>
  <c r="N45" i="4"/>
  <c r="M45" i="4"/>
  <c r="J45" i="4"/>
  <c r="I45" i="4"/>
  <c r="F45" i="4"/>
  <c r="D45" i="4"/>
  <c r="C45" i="4"/>
  <c r="M44" i="4"/>
  <c r="N44" i="4" s="1"/>
  <c r="J44" i="4"/>
  <c r="I44" i="4"/>
  <c r="F44" i="4"/>
  <c r="D44" i="4"/>
  <c r="C44" i="4"/>
  <c r="M43" i="4"/>
  <c r="N43" i="4" s="1"/>
  <c r="J43" i="4"/>
  <c r="I43" i="4"/>
  <c r="F43" i="4"/>
  <c r="D43" i="4"/>
  <c r="C43" i="4"/>
  <c r="N42" i="4"/>
  <c r="M42" i="4"/>
  <c r="J42" i="4"/>
  <c r="I42" i="4"/>
  <c r="F42" i="4"/>
  <c r="D42" i="4"/>
  <c r="C42" i="4"/>
  <c r="M41" i="4"/>
  <c r="N41" i="4" s="1"/>
  <c r="J41" i="4"/>
  <c r="I41" i="4"/>
  <c r="F41" i="4"/>
  <c r="D41" i="4"/>
  <c r="C41" i="4"/>
  <c r="N40" i="4"/>
  <c r="M40" i="4"/>
  <c r="J40" i="4"/>
  <c r="I40" i="4"/>
  <c r="F40" i="4"/>
  <c r="D40" i="4"/>
  <c r="C40" i="4"/>
  <c r="N39" i="4"/>
  <c r="M39" i="4"/>
  <c r="J39" i="4"/>
  <c r="I39" i="4"/>
  <c r="F39" i="4"/>
  <c r="D39" i="4"/>
  <c r="C39" i="4"/>
  <c r="M38" i="4"/>
  <c r="N38" i="4" s="1"/>
  <c r="J38" i="4"/>
  <c r="I38" i="4"/>
  <c r="F38" i="4"/>
  <c r="D38" i="4"/>
  <c r="C38" i="4"/>
  <c r="N37" i="4"/>
  <c r="M37" i="4"/>
  <c r="J37" i="4"/>
  <c r="I37" i="4"/>
  <c r="F37" i="4"/>
  <c r="D37" i="4"/>
  <c r="C37" i="4"/>
  <c r="M36" i="4"/>
  <c r="N36" i="4" s="1"/>
  <c r="J36" i="4"/>
  <c r="I36" i="4"/>
  <c r="F36" i="4"/>
  <c r="D36" i="4"/>
  <c r="C36" i="4"/>
  <c r="M35" i="4"/>
  <c r="N35" i="4" s="1"/>
  <c r="J35" i="4"/>
  <c r="I35" i="4"/>
  <c r="F35" i="4"/>
  <c r="D35" i="4"/>
  <c r="C35" i="4"/>
  <c r="N34" i="4"/>
  <c r="M34" i="4"/>
  <c r="J34" i="4"/>
  <c r="I34" i="4"/>
  <c r="F34" i="4"/>
  <c r="D34" i="4"/>
  <c r="C34" i="4"/>
  <c r="M33" i="4"/>
  <c r="N33" i="4" s="1"/>
  <c r="J33" i="4"/>
  <c r="I33" i="4"/>
  <c r="F33" i="4"/>
  <c r="D33" i="4"/>
  <c r="C33" i="4"/>
  <c r="N32" i="4"/>
  <c r="M32" i="4"/>
  <c r="J32" i="4"/>
  <c r="I32" i="4"/>
  <c r="F32" i="4"/>
  <c r="D32" i="4"/>
  <c r="C32" i="4"/>
  <c r="N31" i="4"/>
  <c r="M31" i="4"/>
  <c r="J31" i="4"/>
  <c r="I31" i="4"/>
  <c r="F31" i="4"/>
  <c r="D31" i="4"/>
  <c r="C31" i="4"/>
  <c r="M30" i="4"/>
  <c r="N30" i="4" s="1"/>
  <c r="J30" i="4"/>
  <c r="I30" i="4"/>
  <c r="F30" i="4"/>
  <c r="D30" i="4"/>
  <c r="C30" i="4"/>
  <c r="N29" i="4"/>
  <c r="M29" i="4"/>
  <c r="J29" i="4"/>
  <c r="I29" i="4"/>
  <c r="F29" i="4"/>
  <c r="D29" i="4"/>
  <c r="C29" i="4"/>
  <c r="M28" i="4"/>
  <c r="N28" i="4" s="1"/>
  <c r="J28" i="4"/>
  <c r="I28" i="4"/>
  <c r="F28" i="4"/>
  <c r="D28" i="4"/>
  <c r="C28" i="4"/>
  <c r="N27" i="4"/>
  <c r="M27" i="4"/>
  <c r="J27" i="4"/>
  <c r="I27" i="4"/>
  <c r="F27" i="4"/>
  <c r="D27" i="4"/>
  <c r="C27" i="4"/>
  <c r="N26" i="4"/>
  <c r="M26" i="4"/>
  <c r="J26" i="4"/>
  <c r="I26" i="4"/>
  <c r="F26" i="4"/>
  <c r="D26" i="4"/>
  <c r="C26" i="4"/>
  <c r="M25" i="4"/>
  <c r="N25" i="4" s="1"/>
  <c r="J25" i="4"/>
  <c r="I25" i="4"/>
  <c r="F25" i="4"/>
  <c r="D25" i="4"/>
  <c r="C25" i="4"/>
  <c r="N24" i="4"/>
  <c r="M24" i="4"/>
  <c r="J24" i="4"/>
  <c r="I24" i="4"/>
  <c r="F24" i="4"/>
  <c r="D24" i="4"/>
  <c r="C24" i="4"/>
  <c r="N23" i="4"/>
  <c r="M23" i="4"/>
  <c r="J23" i="4"/>
  <c r="I23" i="4"/>
  <c r="F23" i="4"/>
  <c r="D23" i="4"/>
  <c r="C23" i="4"/>
  <c r="M22" i="4"/>
  <c r="N22" i="4" s="1"/>
  <c r="J22" i="4"/>
  <c r="I22" i="4"/>
  <c r="F22" i="4"/>
  <c r="D22" i="4"/>
  <c r="C22" i="4"/>
  <c r="N21" i="4"/>
  <c r="M21" i="4"/>
  <c r="J21" i="4"/>
  <c r="I21" i="4"/>
  <c r="F21" i="4"/>
  <c r="D21" i="4"/>
  <c r="C21" i="4"/>
  <c r="M20" i="4"/>
  <c r="N20" i="4" s="1"/>
  <c r="J20" i="4"/>
  <c r="I20" i="4"/>
  <c r="F20" i="4"/>
  <c r="D20" i="4"/>
  <c r="C20" i="4"/>
  <c r="N19" i="4"/>
  <c r="M19" i="4"/>
  <c r="J19" i="4"/>
  <c r="I19" i="4"/>
  <c r="F19" i="4"/>
  <c r="D19" i="4"/>
  <c r="C19" i="4"/>
  <c r="N18" i="4"/>
  <c r="M18" i="4"/>
  <c r="J18" i="4"/>
  <c r="I18" i="4"/>
  <c r="F18" i="4"/>
  <c r="D18" i="4"/>
  <c r="C18" i="4"/>
  <c r="M17" i="4"/>
  <c r="N17" i="4" s="1"/>
  <c r="J17" i="4"/>
  <c r="I17" i="4"/>
  <c r="F17" i="4"/>
  <c r="D17" i="4"/>
  <c r="C17" i="4"/>
  <c r="N16" i="4"/>
  <c r="M16" i="4"/>
  <c r="J16" i="4"/>
  <c r="I16" i="4"/>
  <c r="F16" i="4"/>
  <c r="D16" i="4"/>
  <c r="C16" i="4"/>
  <c r="N15" i="4"/>
  <c r="M15" i="4"/>
  <c r="J15" i="4"/>
  <c r="I15" i="4"/>
  <c r="F15" i="4"/>
  <c r="D15" i="4"/>
  <c r="C15" i="4"/>
  <c r="M14" i="4"/>
  <c r="N14" i="4" s="1"/>
  <c r="J14" i="4"/>
  <c r="I14" i="4"/>
  <c r="F14" i="4"/>
  <c r="D14" i="4"/>
  <c r="C14" i="4"/>
  <c r="N13" i="4"/>
  <c r="M13" i="4"/>
  <c r="J13" i="4"/>
  <c r="I13" i="4"/>
  <c r="F13" i="4"/>
  <c r="D13" i="4"/>
  <c r="C13" i="4"/>
  <c r="M12" i="4"/>
  <c r="N12" i="4" s="1"/>
  <c r="J12" i="4"/>
  <c r="I12" i="4"/>
  <c r="F12" i="4"/>
  <c r="D12" i="4"/>
  <c r="C12" i="4"/>
  <c r="N11" i="4"/>
  <c r="M11" i="4"/>
  <c r="J11" i="4"/>
  <c r="I11" i="4"/>
  <c r="F11" i="4"/>
  <c r="D11" i="4"/>
  <c r="C11" i="4"/>
  <c r="N10" i="4"/>
  <c r="M10" i="4"/>
  <c r="J10" i="4"/>
  <c r="I10" i="4"/>
  <c r="F10" i="4"/>
  <c r="D10" i="4"/>
  <c r="C10" i="4"/>
  <c r="M9" i="4"/>
  <c r="N9" i="4" s="1"/>
  <c r="J9" i="4"/>
  <c r="I9" i="4"/>
  <c r="F9" i="4"/>
  <c r="D9" i="4"/>
  <c r="C9" i="4"/>
  <c r="N8" i="4"/>
  <c r="M8" i="4"/>
  <c r="J8" i="4"/>
  <c r="I8" i="4"/>
  <c r="F8" i="4"/>
  <c r="D8" i="4"/>
  <c r="C8" i="4"/>
  <c r="N7" i="4"/>
  <c r="M7" i="4"/>
  <c r="J7" i="4"/>
  <c r="I7" i="4"/>
  <c r="F7" i="4"/>
  <c r="D7" i="4"/>
  <c r="C7" i="4"/>
  <c r="M6" i="4"/>
  <c r="N6" i="4" s="1"/>
  <c r="J6" i="4"/>
  <c r="I6" i="4"/>
  <c r="F6" i="4"/>
  <c r="D6" i="4"/>
  <c r="C6" i="4"/>
  <c r="N5" i="4"/>
  <c r="M5" i="4"/>
  <c r="J5" i="4"/>
  <c r="I5" i="4"/>
  <c r="F5" i="4"/>
  <c r="D5" i="4"/>
  <c r="C5" i="4"/>
  <c r="M4" i="4"/>
  <c r="N4" i="4" s="1"/>
  <c r="J4" i="4"/>
  <c r="I4" i="4"/>
  <c r="F4" i="4"/>
  <c r="D4" i="4"/>
  <c r="C4" i="4"/>
  <c r="N3" i="4"/>
  <c r="M3" i="4"/>
  <c r="J3" i="4"/>
  <c r="I3" i="4"/>
  <c r="F3" i="4"/>
  <c r="D3" i="4"/>
  <c r="C3" i="4"/>
  <c r="N2" i="4"/>
  <c r="M2" i="4"/>
  <c r="J2" i="4"/>
  <c r="I2" i="4"/>
  <c r="F2" i="4"/>
  <c r="D2" i="4"/>
  <c r="C2" i="4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N8" i="2"/>
  <c r="N10" i="2"/>
  <c r="N14" i="2"/>
  <c r="N15" i="2"/>
  <c r="N16" i="2"/>
  <c r="N18" i="2"/>
  <c r="N22" i="2"/>
  <c r="N23" i="2"/>
  <c r="N24" i="2"/>
  <c r="N30" i="2"/>
  <c r="N31" i="2"/>
  <c r="N32" i="2"/>
  <c r="N33" i="2"/>
  <c r="N34" i="2"/>
  <c r="N40" i="2"/>
  <c r="N42" i="2"/>
  <c r="N46" i="2"/>
  <c r="N47" i="2"/>
  <c r="N48" i="2"/>
  <c r="N50" i="2"/>
  <c r="M2" i="2"/>
  <c r="N2" i="2" s="1"/>
  <c r="M3" i="2"/>
  <c r="N3" i="2" s="1"/>
  <c r="M4" i="2"/>
  <c r="N4" i="2" s="1"/>
  <c r="M5" i="2"/>
  <c r="N5" i="2" s="1"/>
  <c r="M6" i="2"/>
  <c r="N6" i="2" s="1"/>
  <c r="M7" i="2"/>
  <c r="N7" i="2" s="1"/>
  <c r="M8" i="2"/>
  <c r="M9" i="2"/>
  <c r="N9" i="2" s="1"/>
  <c r="M10" i="2"/>
  <c r="M11" i="2"/>
  <c r="N11" i="2" s="1"/>
  <c r="M12" i="2"/>
  <c r="N12" i="2" s="1"/>
  <c r="M13" i="2"/>
  <c r="N13" i="2" s="1"/>
  <c r="M14" i="2"/>
  <c r="M15" i="2"/>
  <c r="M16" i="2"/>
  <c r="M17" i="2"/>
  <c r="N17" i="2" s="1"/>
  <c r="M18" i="2"/>
  <c r="M19" i="2"/>
  <c r="N19" i="2" s="1"/>
  <c r="M20" i="2"/>
  <c r="N20" i="2" s="1"/>
  <c r="M21" i="2"/>
  <c r="N21" i="2" s="1"/>
  <c r="M22" i="2"/>
  <c r="M23" i="2"/>
  <c r="M24" i="2"/>
  <c r="M25" i="2"/>
  <c r="N25" i="2" s="1"/>
  <c r="M26" i="2"/>
  <c r="N26" i="2" s="1"/>
  <c r="M27" i="2"/>
  <c r="N27" i="2" s="1"/>
  <c r="M28" i="2"/>
  <c r="N28" i="2" s="1"/>
  <c r="M29" i="2"/>
  <c r="N29" i="2" s="1"/>
  <c r="M30" i="2"/>
  <c r="M31" i="2"/>
  <c r="M32" i="2"/>
  <c r="M33" i="2"/>
  <c r="M34" i="2"/>
  <c r="M35" i="2"/>
  <c r="N35" i="2" s="1"/>
  <c r="M36" i="2"/>
  <c r="N36" i="2" s="1"/>
  <c r="M37" i="2"/>
  <c r="N37" i="2" s="1"/>
  <c r="M38" i="2"/>
  <c r="N38" i="2" s="1"/>
  <c r="M39" i="2"/>
  <c r="N39" i="2" s="1"/>
  <c r="M40" i="2"/>
  <c r="M41" i="2"/>
  <c r="N41" i="2" s="1"/>
  <c r="M42" i="2"/>
  <c r="M43" i="2"/>
  <c r="N43" i="2" s="1"/>
  <c r="M44" i="2"/>
  <c r="N44" i="2" s="1"/>
  <c r="M45" i="2"/>
  <c r="N45" i="2" s="1"/>
  <c r="M46" i="2"/>
  <c r="M47" i="2"/>
  <c r="M48" i="2"/>
  <c r="M49" i="2"/>
  <c r="N49" i="2" s="1"/>
  <c r="M50" i="2"/>
  <c r="M51" i="2"/>
  <c r="N51" i="2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<sst xmlns="http://schemas.openxmlformats.org/spreadsheetml/2006/main" count="1647" uniqueCount="150">
  <si>
    <t>igen</t>
  </si>
  <si>
    <t>nem</t>
  </si>
  <si>
    <t>Fizetve</t>
  </si>
  <si>
    <t>Ausztria</t>
  </si>
  <si>
    <t>Belgium</t>
  </si>
  <si>
    <t>Bulgária</t>
  </si>
  <si>
    <t>Ciprus</t>
  </si>
  <si>
    <t>Csehország</t>
  </si>
  <si>
    <t>Dánia</t>
  </si>
  <si>
    <t>Egyesült Királyság</t>
  </si>
  <si>
    <t>Észtország</t>
  </si>
  <si>
    <t>Finnország</t>
  </si>
  <si>
    <t>Franciaország</t>
  </si>
  <si>
    <t>Görögország</t>
  </si>
  <si>
    <t>Hollandia</t>
  </si>
  <si>
    <t>Írország</t>
  </si>
  <si>
    <t>Lengyelország</t>
  </si>
  <si>
    <t>Lettország</t>
  </si>
  <si>
    <t>Litvánia</t>
  </si>
  <si>
    <t>Luxemburg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</si>
  <si>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</si>
  <si>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</si>
  <si>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</si>
  <si>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</si>
  <si>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</si>
  <si>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</si>
  <si>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</si>
  <si>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</si>
  <si>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</si>
  <si>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</si>
  <si>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Célország</t>
  </si>
  <si>
    <t>Típus</t>
  </si>
  <si>
    <t>Opel</t>
  </si>
  <si>
    <t>Mercedes</t>
  </si>
  <si>
    <t>Audi</t>
  </si>
  <si>
    <t>BMW</t>
  </si>
  <si>
    <t>Skoda</t>
  </si>
  <si>
    <t>Nissan</t>
  </si>
  <si>
    <t>Honda</t>
  </si>
  <si>
    <t>Toyota</t>
  </si>
  <si>
    <t>Mazda</t>
  </si>
  <si>
    <t>Volkswagen</t>
  </si>
  <si>
    <t>Renault</t>
  </si>
  <si>
    <t>Fiat</t>
  </si>
  <si>
    <t>Kia</t>
  </si>
  <si>
    <t>Mini</t>
  </si>
  <si>
    <t>SEAT</t>
  </si>
  <si>
    <t>Hyndai</t>
  </si>
  <si>
    <t>Peugeot</t>
  </si>
  <si>
    <t>Árfolyam</t>
  </si>
  <si>
    <t>Yetta Ferrell</t>
  </si>
  <si>
    <t>Sierra Richardson</t>
  </si>
  <si>
    <t>Sarah Meyers</t>
  </si>
  <si>
    <t>Lars Cobb</t>
  </si>
  <si>
    <t>Kelly Cook</t>
  </si>
  <si>
    <t>Malcolm Klein</t>
  </si>
  <si>
    <t>Brittany Francis</t>
  </si>
  <si>
    <t>Colton Suarez</t>
  </si>
  <si>
    <t>Brent Brennan</t>
  </si>
  <si>
    <t>VV-18640</t>
  </si>
  <si>
    <t>HD-12169</t>
  </si>
  <si>
    <t>LN-30264</t>
  </si>
  <si>
    <t>PI-52607</t>
  </si>
  <si>
    <t>EN-63829</t>
  </si>
  <si>
    <t>OK-85591</t>
  </si>
  <si>
    <t>YV-46171</t>
  </si>
  <si>
    <t>KK-52866</t>
  </si>
  <si>
    <t>CJ-50252</t>
  </si>
  <si>
    <t>RL-41324</t>
  </si>
  <si>
    <t>VC-79045</t>
  </si>
  <si>
    <t>JI-44108</t>
  </si>
  <si>
    <t>RJ-00586</t>
  </si>
  <si>
    <t>XS-71098</t>
  </si>
  <si>
    <t>EP-84054</t>
  </si>
  <si>
    <t>WL-73026</t>
  </si>
  <si>
    <t>EP-55040</t>
  </si>
  <si>
    <t>WT-82221</t>
  </si>
  <si>
    <t>DL-05420</t>
  </si>
  <si>
    <t>VM-77246</t>
  </si>
  <si>
    <t>OB-25165</t>
  </si>
  <si>
    <t>WL-16179</t>
  </si>
  <si>
    <t>MV-63594</t>
  </si>
  <si>
    <t>MF-75279</t>
  </si>
  <si>
    <t>VL-92246</t>
  </si>
  <si>
    <t>AR-87412</t>
  </si>
  <si>
    <t>LB-68071</t>
  </si>
  <si>
    <t>DQ-64667</t>
  </si>
  <si>
    <t>YY-87626</t>
  </si>
  <si>
    <t>KF-50374</t>
  </si>
  <si>
    <t>XF-16853</t>
  </si>
  <si>
    <t>YX-74732</t>
  </si>
  <si>
    <t>XH-99112</t>
  </si>
  <si>
    <t>DT-62560</t>
  </si>
  <si>
    <t>VH-12195</t>
  </si>
  <si>
    <t>TX-69936</t>
  </si>
  <si>
    <t>IY-03648</t>
  </si>
  <si>
    <t>TO-95890</t>
  </si>
  <si>
    <t>DY-60615</t>
  </si>
  <si>
    <t>ZK-85896</t>
  </si>
  <si>
    <t>AR-46823</t>
  </si>
  <si>
    <t>YH-67884</t>
  </si>
  <si>
    <t>IN-94970</t>
  </si>
  <si>
    <t>EZ-81466</t>
  </si>
  <si>
    <t>HM-68873</t>
  </si>
  <si>
    <t>MN-98043</t>
  </si>
  <si>
    <t>WZ-89642</t>
  </si>
  <si>
    <t>OJ-09863</t>
  </si>
  <si>
    <t>IP-71966</t>
  </si>
  <si>
    <t>HP-96222</t>
  </si>
  <si>
    <t>Rendelés dátuma</t>
  </si>
  <si>
    <t>Sürgős</t>
  </si>
  <si>
    <t>Szállítás legkorábbi dátuma</t>
  </si>
  <si>
    <t>Max. várakozási idő</t>
  </si>
  <si>
    <t>Kapcsolattartó</t>
  </si>
  <si>
    <t>Kapcsolattartók</t>
  </si>
  <si>
    <t>Szállítás legkésőbbi dátuma</t>
  </si>
  <si>
    <t>Típusazonosító</t>
  </si>
  <si>
    <t>CT-101</t>
  </si>
  <si>
    <t>CT-102</t>
  </si>
  <si>
    <t>CT-103</t>
  </si>
  <si>
    <t>CT-104</t>
  </si>
  <si>
    <t>CT-105</t>
  </si>
  <si>
    <t>CT-106</t>
  </si>
  <si>
    <t>CT-107</t>
  </si>
  <si>
    <t>CT-108</t>
  </si>
  <si>
    <t>CT-109</t>
  </si>
  <si>
    <t>CT-110</t>
  </si>
  <si>
    <t>CT-111</t>
  </si>
  <si>
    <t>CT-112</t>
  </si>
  <si>
    <t>CT-113</t>
  </si>
  <si>
    <t>CT-114</t>
  </si>
  <si>
    <t>CT-115</t>
  </si>
  <si>
    <t>CT-116</t>
  </si>
  <si>
    <t>CT-117</t>
  </si>
  <si>
    <t>Rendelés-
azonosító</t>
  </si>
  <si>
    <t>Min. idő</t>
  </si>
  <si>
    <t>Egységár (euró)</t>
  </si>
  <si>
    <t>Rendelt mennyiség</t>
  </si>
  <si>
    <t>Fizetendő (euró)</t>
  </si>
  <si>
    <t>Fizetendő (forint)</t>
  </si>
  <si>
    <t>Vezetéknév</t>
  </si>
  <si>
    <t>Ferrell</t>
  </si>
  <si>
    <t>Brennan</t>
  </si>
  <si>
    <t>Meyers</t>
  </si>
  <si>
    <t>Suarez</t>
  </si>
  <si>
    <t>Cook</t>
  </si>
  <si>
    <t>Klein</t>
  </si>
  <si>
    <t>Francis</t>
  </si>
  <si>
    <t>Richardson</t>
  </si>
  <si>
    <t>Cobb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</si>
</sst>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Ft&quot;"/>
    <numFmt numFmtId="165" formatCode="#,##0\ [$€-1]"/>
    <numFmt numFmtId="166" formatCode="General&quot; nap&quot;"/>
    <numFmt numFmtId="167" formatCode="General&quot; db&quot;"/>
  </numFmts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6" xfId="0" applyFont="1" applyBorder="1"/>
    <xf numFmtId="14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/>
    <xf numFmtId="166" fontId="3" fillId="0" borderId="0" xfId="0" applyNumberFormat="1" applyFont="1"/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8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Border="1"/>
    <xf numFmtId="165" fontId="3" fillId="0" borderId="5" xfId="0" applyNumberFormat="1" applyFont="1" applyBorder="1"/>
    <xf numFmtId="164" fontId="6" fillId="0" borderId="0" xfId="0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0" fontId="3" fillId="0" borderId="0" xfId="0" applyNumberFormat="1" applyFont="1"/>
    <xf numFmtId="0" fontId="5" fillId="4" borderId="9" xfId="0" applyFont="1" applyFill="1" applyBorder="1" applyAlignment="1">
      <alignment horizontal="center" vertical="center" wrapText="1"/>
    </xf>
    <xf numFmtId="167" fontId="6" fillId="0" borderId="0" xfId="0" applyNumberFormat="1" applyFont="1" applyBorder="1"/>
    <xf numFmtId="0" fontId="5" fillId="5" borderId="10" xfId="0" applyFont="1" applyFill="1" applyBorder="1"/>
    <xf numFmtId="166" fontId="7" fillId="0" borderId="11" xfId="0" applyNumberFormat="1" applyFont="1" applyBorder="1"/>
  </cellXfs>
  <cellStyles count="1">
    <cellStyle name="Normá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9BBB59"/>
        </left>
        <right style="thin">
          <color rgb="FF9BBB59"/>
        </right>
        <top style="thin">
          <color rgb="FF9BBB59"/>
        </top>
        <bottom style="thin">
          <color rgb="FF9BBB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/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5" formatCode="#,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7" formatCode="General&quot; db&quot;"/>
    </dxf>
    <dxf>
      <font>
        <color theme="1"/>
        <family val="2"/>
        <charset val="238"/>
      </font>
      <numFmt numFmtId="165" formatCode="#,##0\ [$€-1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9" formatCode="yyyy/mm/dd"/>
    </dxf>
    <dxf>
      <numFmt numFmtId="19" formatCode="yyyy/mm/dd"/>
    </dxf>
    <dxf>
      <numFmt numFmtId="166" formatCode="General&quot; nap&quot;"/>
    </dxf>
    <dxf>
      <numFmt numFmtId="19" formatCode="yyyy/mm/dd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9BBB59"/>
        </left>
        <right style="thin">
          <color rgb="FF9BBB59"/>
        </right>
        <top style="thin">
          <color rgb="FF9BBB59"/>
        </top>
        <bottom style="thin">
          <color rgb="FF9BBB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/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5" formatCode="#,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7" formatCode="General&quot; db&quot;"/>
    </dxf>
    <dxf>
      <font>
        <color theme="1"/>
        <family val="2"/>
        <charset val="238"/>
      </font>
      <numFmt numFmtId="165" formatCode="#,##0\ [$€-1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9" formatCode="yyyy/mm/dd"/>
    </dxf>
    <dxf>
      <numFmt numFmtId="19" formatCode="yyyy/mm/dd"/>
    </dxf>
    <dxf>
      <numFmt numFmtId="166" formatCode="General&quot; nap&quot;"/>
    </dxf>
    <dxf>
      <numFmt numFmtId="19" formatCode="yyyy/mm/dd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9BBB59"/>
        </left>
        <right style="thin">
          <color rgb="FF9BBB59"/>
        </right>
        <top style="thin">
          <color rgb="FF9BBB59"/>
        </top>
        <bottom style="thin">
          <color rgb="FF9BBB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/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5" formatCode="#,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7" formatCode="General&quot; db&quot;"/>
    </dxf>
    <dxf>
      <font>
        <color theme="1"/>
        <family val="2"/>
        <charset val="238"/>
      </font>
      <numFmt numFmtId="165" formatCode="#,##0\ [$€-1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9" formatCode="yyyy/mm/dd"/>
    </dxf>
    <dxf>
      <numFmt numFmtId="19" formatCode="yyyy/mm/dd"/>
    </dxf>
    <dxf>
      <numFmt numFmtId="166" formatCode="General&quot; nap&quot;"/>
    </dxf>
    <dxf>
      <numFmt numFmtId="19" formatCode="yyyy/mm/dd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/>
        <i/>
      </font>
    </dxf>
    <dxf>
      <fill>
        <patternFill>
          <bgColor theme="7" tint="0.79998168889431442"/>
        </patternFill>
      </fill>
    </dxf>
    <dxf>
      <font>
        <strike val="0"/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/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5" formatCode="#,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7" formatCode="General&quot; db&quot;"/>
    </dxf>
    <dxf>
      <font>
        <color theme="1"/>
        <family val="2"/>
        <charset val="238"/>
      </font>
      <numFmt numFmtId="165" formatCode="#,##0\ [$€-1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9" formatCode="yyyy/mm/dd"/>
    </dxf>
    <dxf>
      <numFmt numFmtId="19" formatCode="yyyy/mm/dd"/>
    </dxf>
    <dxf>
      <numFmt numFmtId="166" formatCode="General&quot; nap&quot;"/>
    </dxf>
    <dxf>
      <numFmt numFmtId="19" formatCode="yyyy/mm/dd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border outline="0">
        <left style="thin">
          <color rgb="FF9BBB59"/>
        </left>
        <right style="thin">
          <color rgb="FF9BBB59"/>
        </right>
        <top style="thin">
          <color rgb="FF9BBB59"/>
        </top>
        <bottom style="thin">
          <color rgb="FF9BBB5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/>
        <right style="thin">
          <color theme="7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65" formatCode="#,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7" formatCode="General&quot; db&quot;"/>
    </dxf>
    <dxf>
      <font>
        <color theme="1"/>
        <family val="2"/>
        <charset val="238"/>
      </font>
      <numFmt numFmtId="165" formatCode="#,##0\ [$€-1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9" formatCode="yyyy/mm/dd"/>
    </dxf>
    <dxf>
      <numFmt numFmtId="19" formatCode="yyyy/mm/dd"/>
    </dxf>
    <dxf>
      <numFmt numFmtId="166" formatCode="General&quot; nap&quot;"/>
    </dxf>
    <dxf>
      <numFmt numFmtId="19" formatCode="yyyy/mm/dd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5B57B15-1323-43BC-A040-3DDD30391F2B}" name="Táblázat1" displayName="Táblázat1" ref="A1:O51" totalsRowShown="0" headerRowDxfId="119">
  <autoFilter ref="A1:O51" xr:uid="{1B78845A-0616-430A-B121-B18160629D9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3FBE6A0-03DE-409C-B217-3BD116BFB781}" name="Rendelés-_x000a_azonosító"/>
    <tableColumn id="2" xr3:uid="{DD56BD79-EFC9-4CA9-B2AA-2A1E70F5697B}" name="Típus" dataDxfId="118"/>
    <tableColumn id="3" xr3:uid="{D1F3A95E-FD41-409A-AEF1-F7F32FF5BCD4}" name="Típusazonosító" dataDxfId="117"/>
    <tableColumn id="4" xr3:uid="{08D3B18B-4DFA-4843-A628-0E8E8BF17397}" name="Kapcsolattartó" dataDxfId="116"/>
    <tableColumn id="5" xr3:uid="{13AF90FA-AD4B-4F38-BF20-23F24A48C01A}" name="Célország"/>
    <tableColumn id="12" xr3:uid="{1A41833A-6B1E-47D2-816B-BD1BDF42C0A0}" name="Sürgős" dataDxfId="115"/>
    <tableColumn id="10" xr3:uid="{A6F714A7-7AF3-478F-A7AD-DCD6C588A14E}" name="Rendelés dátuma" dataDxfId="114"/>
    <tableColumn id="13" xr3:uid="{AAC18244-0372-452C-991B-EA4B3BAEAFF5}" name="Max. várakozási idő" dataDxfId="113"/>
    <tableColumn id="15" xr3:uid="{D84251E1-D43A-4EA0-B060-8ACFEB6A862E}" name="Szállítás legkorábbi dátuma" dataDxfId="112"/>
    <tableColumn id="9" xr3:uid="{4464B333-8643-426C-90D9-202D6A5DF6D4}" name="Szállítás legkésőbbi dátuma" dataDxfId="111"/>
    <tableColumn id="6" xr3:uid="{87F37F72-4354-47CC-96A7-2B6B051FE29C}" name="Egységár (euró)" dataDxfId="110"/>
    <tableColumn id="16" xr3:uid="{28ECEB28-C0FD-4AA5-9D33-2B2374A4267A}" name="Rendelt mennyiség" dataDxfId="109"/>
    <tableColumn id="18" xr3:uid="{6E9C28F0-1AEE-44F9-820D-8A25587B6251}" name="Fizetendő (euró)" dataDxfId="108"/>
    <tableColumn id="17" xr3:uid="{4DA98A84-F016-4F85-A774-26EB64A29044}" name="Fizetendő (forint)" dataDxfId="107"/>
    <tableColumn id="8" xr3:uid="{0188C788-96C0-42C4-8972-59362FE0AC01}" name="Fizetve" dataDxfId="106"/>
  </tableColumns>
  <tableStyleInfo name="TableStyleLight12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C2999BE-E47F-40BA-8BDC-941F619CBE03}" name="Rendelések3" displayName="Rendelések3" ref="A1:P51" totalsRowShown="0" headerRowDxfId="47">
  <autoFilter ref="A1:P51" xr:uid="{2C2999BE-E47F-40BA-8BDC-941F619CBE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xmlns:xlrd2="http://schemas.microsoft.com/office/spreadsheetml/2017/richdata2" ref="A2:P51">
    <sortCondition ref="E2:E51"/>
    <sortCondition ref="F2:F51"/>
    <sortCondition descending="1" ref="N2:N51"/>
  </sortState>
  <tableColumns count="16">
    <tableColumn id="1" xr3:uid="{5979F580-5197-4D0F-BC21-97A41A1F2F40}" name="Rendelés-_x000a_azonosító"/>
    <tableColumn id="2" xr3:uid="{61169270-3C46-4B20-89C6-55EBDF05F65D}" name="Típus" dataDxfId="46"/>
    <tableColumn id="3" xr3:uid="{1540828F-2618-4DE8-A91E-5604349AC6C3}" name="Típusazonosító" dataDxfId="45">
      <calculatedColumnFormula>INDEX(Típusok3[],MATCH(Rendelések3[[#This Row],[Típus]],Típusok3[Típus],0),2)</calculatedColumnFormula>
    </tableColumn>
    <tableColumn id="4" xr3:uid="{191FC172-174A-49FB-BDA2-1900E252945C}" name="Kapcsolattartó" dataDxfId="44">
      <calculatedColumnFormula>INDEX(Országok3[],MATCH(Rendelések3[[#This Row],[Célország]],Országok3[Célország],0),2)</calculatedColumnFormula>
    </tableColumn>
    <tableColumn id="7" xr3:uid="{99126ED6-58E6-4410-8FE2-C849F1BFED82}" name="Vezetéknév" dataDxfId="43"/>
    <tableColumn id="5" xr3:uid="{FA73AC14-F3D0-42C7-8786-42D4BD21E465}" name="Célország"/>
    <tableColumn id="12" xr3:uid="{96AE64B3-688A-4C44-ABBA-500C270C795E}" name="Sürgős" dataDxfId="42">
      <calculatedColumnFormula>IF(Rendelések3[[#This Row],[Max. várakozási idő]]&lt;10,"!","")</calculatedColumnFormula>
    </tableColumn>
    <tableColumn id="10" xr3:uid="{A4C1E7CE-13DA-4125-BA92-BA89E74B5487}" name="Rendelés dátuma" dataDxfId="41"/>
    <tableColumn id="13" xr3:uid="{6CB48812-DD7D-48CB-A6B4-A6E5D6ADCE33}" name="Max. várakozási idő" dataDxfId="40"/>
    <tableColumn id="15" xr3:uid="{34AA843A-A9E1-4ED3-A743-BEE2BA88287D}" name="Szállítás legkorábbi dátuma" dataDxfId="39">
      <calculatedColumnFormula>Rendelések3[[#This Row],[Rendelés dátuma]]+minimum</calculatedColumnFormula>
    </tableColumn>
    <tableColumn id="9" xr3:uid="{4DE1562D-78C0-4A4F-A0BF-5CE87400195C}" name="Szállítás legkésőbbi dátuma" dataDxfId="38">
      <calculatedColumnFormula>Rendelések3[[#This Row],[Rendelés dátuma]]+Rendelések3[[#This Row],[Max. várakozási idő]]</calculatedColumnFormula>
    </tableColumn>
    <tableColumn id="6" xr3:uid="{5DA32CD7-1F80-4AEE-BF4E-9EBB6BC8C646}" name="Egységár (euró)" dataDxfId="37"/>
    <tableColumn id="16" xr3:uid="{AD30087E-7133-421D-96FC-83A058B87D15}" name="Rendelt mennyiség" dataDxfId="36"/>
    <tableColumn id="18" xr3:uid="{09744752-D47E-4A30-8C2A-5ADECEAA32C0}" name="Fizetendő (euró)" dataDxfId="35">
      <calculatedColumnFormula>Rendelések3[[#This Row],[Egységár (euró)]]*Rendelések3[[#This Row],[Rendelt mennyiség]]</calculatedColumnFormula>
    </tableColumn>
    <tableColumn id="17" xr3:uid="{CD29A6C4-2C9D-4EF8-9F2A-0F7CAFC0243F}" name="Fizetendő (forint)" dataDxfId="34">
      <calculatedColumnFormula>Rendelések3[[#This Row],[Fizetendő (euró)]]*$R$2</calculatedColumnFormula>
    </tableColumn>
    <tableColumn id="8" xr3:uid="{9FA00C3D-2DDF-46F9-8D5C-3B86273F3ABE}" name="Fizetve" dataDxfId="33"/>
  </tableColumns>
  <tableStyleInfo name="TableStyleLight12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1FA24B2-218A-4989-9CD3-A51C13365B24}" name="Országok3" displayName="Országok3" ref="W1:X28" totalsRowShown="0" dataDxfId="32" tableBorderDxfId="31">
  <autoFilter ref="W1:X28" xr:uid="{792057E0-82CB-40C9-A8A8-42F7FDF7DCAC}">
    <filterColumn colId="0" hiddenButton="1"/>
    <filterColumn colId="1" hiddenButton="1"/>
  </autoFilter>
  <tableColumns count="2">
    <tableColumn id="1" xr3:uid="{AB3F3517-295E-412D-A61B-758C97EEC317}" name="Célország" dataDxfId="30"/>
    <tableColumn id="2" xr3:uid="{118A34F7-E967-41B3-811D-37D610E09646}" name="Kapcsolattartók" dataDxfId="29"/>
  </tableColumns>
  <tableStyleInfo name="TableStyleLight1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AA27551-6F4E-4149-9E3A-C16673B6968B}" name="Típusok3" displayName="Típusok3" ref="T1:U18" totalsRowShown="0" headerRowDxfId="28" dataDxfId="27" tableBorderDxfId="26">
  <autoFilter ref="T1:U18" xr:uid="{CEDDA9FC-207E-4F93-8B37-E63A37F5DE90}">
    <filterColumn colId="0" hiddenButton="1"/>
    <filterColumn colId="1" hiddenButton="1"/>
  </autoFilter>
  <sortState xmlns:xlrd2="http://schemas.microsoft.com/office/spreadsheetml/2017/richdata2" ref="T2:T18">
    <sortCondition ref="T2:T18"/>
  </sortState>
  <tableColumns count="2">
    <tableColumn id="1" xr3:uid="{B922D529-7581-4C57-B5A6-77769A906225}" name="Típus" dataDxfId="25"/>
    <tableColumn id="2" xr3:uid="{BF085B3C-9F13-4F37-9C3A-5319708FBE66}" name="Típusazonosító" dataDxfId="24"/>
  </tableColumns>
  <tableStyleInfo name="TableStyleLight14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50BE269-14F3-44F8-9563-390EA637E843}" name="Rendelések4" displayName="Rendelések4" ref="A1:P51" totalsRowShown="0" headerRowDxfId="23">
  <autoFilter ref="A1:P51" xr:uid="{750BE269-14F3-44F8-9563-390EA637E843}">
    <filterColumn colId="7">
      <filters>
        <dateGroupItem year="2021" dateTimeGrouping="year"/>
      </filters>
    </filterColumn>
    <filterColumn colId="14">
      <customFilters>
        <customFilter operator="greaterThanOrEqual" val="50000000"/>
      </customFilters>
    </filterColumn>
    <filterColumn colId="15">
      <filters>
        <filter val="igen"/>
      </filters>
    </filterColumn>
  </autoFilter>
  <sortState xmlns:xlrd2="http://schemas.microsoft.com/office/spreadsheetml/2017/richdata2" ref="A2:P51">
    <sortCondition ref="E2:E51"/>
    <sortCondition ref="F2:F51"/>
    <sortCondition descending="1" ref="N2:N51"/>
  </sortState>
  <tableColumns count="16">
    <tableColumn id="1" xr3:uid="{00227BDF-7400-44CB-B587-D7518711BC92}" name="Rendelés-_x000a_azonosító"/>
    <tableColumn id="2" xr3:uid="{D2146092-095B-4C65-AF52-421B490B1A7F}" name="Típus" dataDxfId="22"/>
    <tableColumn id="3" xr3:uid="{00A5A62F-A86E-43D3-B63C-23BE83174265}" name="Típusazonosító" dataDxfId="21">
      <calculatedColumnFormula>INDEX(Típusok4[],MATCH(Rendelések4[[#This Row],[Típus]],Típusok4[Típus],0),2)</calculatedColumnFormula>
    </tableColumn>
    <tableColumn id="4" xr3:uid="{A3E1453F-6495-4A2F-8F26-CD46CDC7B52D}" name="Kapcsolattartó" dataDxfId="20">
      <calculatedColumnFormula>INDEX(Országok4[],MATCH(Rendelések4[[#This Row],[Célország]],Országok4[Célország],0),2)</calculatedColumnFormula>
    </tableColumn>
    <tableColumn id="7" xr3:uid="{CABB4D1B-936C-451B-AEC6-A09A1F419604}" name="Vezetéknév" dataDxfId="19"/>
    <tableColumn id="5" xr3:uid="{4292FCD4-32DE-469D-B91A-102C5E81118A}" name="Célország"/>
    <tableColumn id="12" xr3:uid="{F7C6CF11-04D8-441C-8D4A-9ACE6E7245AA}" name="Sürgős" dataDxfId="18">
      <calculatedColumnFormula>IF(Rendelések4[[#This Row],[Max. várakozási idő]]&lt;10,"!","")</calculatedColumnFormula>
    </tableColumn>
    <tableColumn id="10" xr3:uid="{D07B6BC8-6953-48F6-8B57-5EFFA933F739}" name="Rendelés dátuma" dataDxfId="17"/>
    <tableColumn id="13" xr3:uid="{D30FDE66-7056-4BAE-9312-878DAAD117FD}" name="Max. várakozási idő" dataDxfId="16"/>
    <tableColumn id="15" xr3:uid="{D7ABB0B0-5562-4722-AD2E-8322A1860124}" name="Szállítás legkorábbi dátuma" dataDxfId="15">
      <calculatedColumnFormula>Rendelések4[[#This Row],[Rendelés dátuma]]+minimum</calculatedColumnFormula>
    </tableColumn>
    <tableColumn id="9" xr3:uid="{A06FF2E7-0C7A-4A33-AA1B-D2294844238D}" name="Szállítás legkésőbbi dátuma" dataDxfId="14">
      <calculatedColumnFormula>Rendelések4[[#This Row],[Rendelés dátuma]]+Rendelések4[[#This Row],[Max. várakozási idő]]</calculatedColumnFormula>
    </tableColumn>
    <tableColumn id="6" xr3:uid="{3EA35570-3BC2-4DA9-B402-DDB8C62D8B4E}" name="Egységár (euró)" dataDxfId="13"/>
    <tableColumn id="16" xr3:uid="{6D7E64FB-0A60-4CFC-A238-F4E15C9865F8}" name="Rendelt mennyiség" dataDxfId="12"/>
    <tableColumn id="18" xr3:uid="{E6F23568-C4CC-484B-A6F9-815404F8CDA1}" name="Fizetendő (euró)" dataDxfId="11">
      <calculatedColumnFormula>Rendelések4[[#This Row],[Egységár (euró)]]*Rendelések4[[#This Row],[Rendelt mennyiség]]</calculatedColumnFormula>
    </tableColumn>
    <tableColumn id="17" xr3:uid="{B78289F7-9F85-46B7-AA03-CAF164C9A50D}" name="Fizetendő (forint)" dataDxfId="10">
      <calculatedColumnFormula>Rendelések4[[#This Row],[Fizetendő (euró)]]*$R$2</calculatedColumnFormula>
    </tableColumn>
    <tableColumn id="8" xr3:uid="{43CAAF10-1029-4786-BBCA-805B631E8E2F}" name="Fizetve" dataDxfId="9"/>
  </tableColumns>
  <tableStyleInfo name="TableStyleLight12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2628A27-61F9-493C-903E-719FDDFF7AAC}" name="Országok4" displayName="Országok4" ref="W1:X28" totalsRowShown="0" dataDxfId="8" tableBorderDxfId="7">
  <autoFilter ref="W1:X28" xr:uid="{792057E0-82CB-40C9-A8A8-42F7FDF7DCAC}">
    <filterColumn colId="0" hiddenButton="1"/>
    <filterColumn colId="1" hiddenButton="1"/>
  </autoFilter>
  <tableColumns count="2">
    <tableColumn id="1" xr3:uid="{BD5BBFA1-9D77-435D-96B0-5B06202121C8}" name="Célország" dataDxfId="6"/>
    <tableColumn id="2" xr3:uid="{9C0DE2BD-2DC9-4344-8990-7C240363D273}" name="Kapcsolattartók" dataDxfId="5"/>
  </tableColumns>
  <tableStyleInfo name="TableStyleLight1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CEC90E0-1A0D-4430-AB18-609F246E86E8}" name="Típusok4" displayName="Típusok4" ref="T1:U18" totalsRowShown="0" headerRowDxfId="4" dataDxfId="3" tableBorderDxfId="2">
  <autoFilter ref="T1:U18" xr:uid="{CEDDA9FC-207E-4F93-8B37-E63A37F5DE90}">
    <filterColumn colId="0" hiddenButton="1"/>
    <filterColumn colId="1" hiddenButton="1"/>
  </autoFilter>
  <sortState xmlns:xlrd2="http://schemas.microsoft.com/office/spreadsheetml/2017/richdata2" ref="T2:T18">
    <sortCondition ref="T2:T18"/>
  </sortState>
  <tableColumns count="2">
    <tableColumn id="1" xr3:uid="{0AB427B7-ADB5-448E-B23F-C4852067FB9D}" name="Típus" dataDxfId="1"/>
    <tableColumn id="2" xr3:uid="{3DFCE953-1BA8-4460-8430-67B7E9B8F673}" name="Típusazonosító" dataDxfId="0"/>
  </tableColumns>
  <tableStyleInfo name="TableStyleLight1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3E7D82D-AA25-4B5E-B6EE-E3E5720C896B}" name="Táblázat3" displayName="Táblázat3" ref="V1:W28" totalsRowShown="0" dataDxfId="105" tableBorderDxfId="104">
  <autoFilter ref="V1:W28" xr:uid="{792057E0-82CB-40C9-A8A8-42F7FDF7DCAC}">
    <filterColumn colId="0" hiddenButton="1"/>
    <filterColumn colId="1" hiddenButton="1"/>
  </autoFilter>
  <tableColumns count="2">
    <tableColumn id="1" xr3:uid="{A455CCB7-C411-43FD-BCFD-2866732E6C16}" name="Célország" dataDxfId="103"/>
    <tableColumn id="2" xr3:uid="{72C3AB26-3AA7-434F-B30A-156FB179B898}" name="Kapcsolattartók" dataDxfId="102"/>
  </tableColumns>
  <tableStyleInfo name="TableStyleLight1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AFFF573-9552-463E-8E66-41D2C05A6F8B}" name="Táblázat2" displayName="Táblázat2" ref="S1:T18" totalsRowShown="0" headerRowDxfId="101" dataDxfId="100" tableBorderDxfId="99">
  <autoFilter ref="S1:T18" xr:uid="{CEDDA9FC-207E-4F93-8B37-E63A37F5DE90}">
    <filterColumn colId="0" hiddenButton="1"/>
    <filterColumn colId="1" hiddenButton="1"/>
  </autoFilter>
  <sortState xmlns:xlrd2="http://schemas.microsoft.com/office/spreadsheetml/2017/richdata2" ref="S2:S18">
    <sortCondition ref="S2:S18"/>
  </sortState>
  <tableColumns count="2">
    <tableColumn id="1" xr3:uid="{789D8FED-2255-49BC-B281-8551FF390F31}" name="Típus" dataDxfId="98"/>
    <tableColumn id="2" xr3:uid="{ECA7CC9D-E218-4247-BF70-E2C6AFD298BB}" name="Típusazonosító" dataDxfId="97"/>
  </tableColumns>
  <tableStyleInfo name="TableStyleLight14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4FD97A-2B84-4430-A3FE-8A86D81F0224}" name="Rendelések" displayName="Rendelések" ref="A1:O51" totalsRowShown="0" headerRowDxfId="96">
  <autoFilter ref="A1:O51" xr:uid="{2E4FD97A-2B84-4430-A3FE-8A86D81F02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FCCE6F-CEA3-4389-BAE9-6B671FDAA4BE}" name="Rendelés-_x000a_azonosító"/>
    <tableColumn id="2" xr3:uid="{C0FA6E6F-D121-44EF-A884-7DD29215AA2C}" name="Típus" dataDxfId="95"/>
    <tableColumn id="3" xr3:uid="{8D2C30EA-21D6-4789-A2E8-BA95AD10AA97}" name="Típusazonosító" dataDxfId="94">
      <calculatedColumnFormula>INDEX(Típusok[],MATCH(Rendelések[[#This Row],[Típus]],Típusok[Típus],0),2)</calculatedColumnFormula>
    </tableColumn>
    <tableColumn id="4" xr3:uid="{F8F05293-3A74-4E19-BD67-18E8F3089EEF}" name="Kapcsolattartó" dataDxfId="93">
      <calculatedColumnFormula>INDEX(Országok[],MATCH(Rendelések[[#This Row],[Célország]],Országok[Célország],0),2)</calculatedColumnFormula>
    </tableColumn>
    <tableColumn id="5" xr3:uid="{11BF4D89-8E92-414F-A754-0EF287080280}" name="Célország"/>
    <tableColumn id="12" xr3:uid="{635AB38F-80B4-45E0-B6DB-47D43B3709A6}" name="Sürgős" dataDxfId="92">
      <calculatedColumnFormula>IF(Rendelések[[#This Row],[Max. várakozási idő]]&lt;10,"!","")</calculatedColumnFormula>
    </tableColumn>
    <tableColumn id="10" xr3:uid="{3C6024BC-83B2-427C-9119-DE7BDAEFA547}" name="Rendelés dátuma" dataDxfId="91"/>
    <tableColumn id="13" xr3:uid="{C1A016A5-A6D3-4CE5-925E-09B2ACCC7831}" name="Max. várakozási idő" dataDxfId="90"/>
    <tableColumn id="15" xr3:uid="{82B2477B-3762-4E5C-A3E1-9099571C7C15}" name="Szállítás legkorábbi dátuma" dataDxfId="89">
      <calculatedColumnFormula>Rendelések[[#This Row],[Rendelés dátuma]]+minimum</calculatedColumnFormula>
    </tableColumn>
    <tableColumn id="9" xr3:uid="{0BF9C81F-6966-46FD-954C-8D39C5EA4A0A}" name="Szállítás legkésőbbi dátuma" dataDxfId="88">
      <calculatedColumnFormula>Rendelések[[#This Row],[Rendelés dátuma]]+Rendelések[[#This Row],[Max. várakozási idő]]</calculatedColumnFormula>
    </tableColumn>
    <tableColumn id="6" xr3:uid="{403B0AAC-F9BF-4F7C-97E6-3D2F7A47D39F}" name="Egységár (euró)" dataDxfId="87"/>
    <tableColumn id="16" xr3:uid="{A795211F-9673-4D30-BDFB-BED5BC0299CD}" name="Rendelt mennyiség" dataDxfId="86"/>
    <tableColumn id="18" xr3:uid="{FD147B8B-4D75-4891-A5E2-F50BA2BFDF70}" name="Fizetendő (euró)" dataDxfId="85">
      <calculatedColumnFormula>Rendelések[[#This Row],[Egységár (euró)]]*Rendelések[[#This Row],[Rendelt mennyiség]]</calculatedColumnFormula>
    </tableColumn>
    <tableColumn id="17" xr3:uid="{E596475C-91DE-41A9-BBDE-AC55841FE984}" name="Fizetendő (forint)" dataDxfId="84">
      <calculatedColumnFormula>Rendelések[[#This Row],[Fizetendő (euró)]]*$Q$2</calculatedColumnFormula>
    </tableColumn>
    <tableColumn id="8" xr3:uid="{500A94CF-A80B-4DE2-8348-2F2BCEF6DFE7}" name="Fizetve" dataDxfId="83"/>
  </tableColumns>
  <tableStyleInfo name="TableStyleLight1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705E3-7761-46D4-870D-8DC7C4612A2C}" name="Országok" displayName="Országok" ref="V1:W28" totalsRowShown="0" dataDxfId="82" tableBorderDxfId="81">
  <autoFilter ref="V1:W28" xr:uid="{792057E0-82CB-40C9-A8A8-42F7FDF7DCAC}">
    <filterColumn colId="0" hiddenButton="1"/>
    <filterColumn colId="1" hiddenButton="1"/>
  </autoFilter>
  <tableColumns count="2">
    <tableColumn id="1" xr3:uid="{6B57C2EA-923A-46F9-A6FD-B161C396BEE6}" name="Célország" dataDxfId="80"/>
    <tableColumn id="2" xr3:uid="{4B4F1B9B-A086-4034-A84F-01F58FA6B746}" name="Kapcsolattartók" dataDxfId="79"/>
  </tableColumns>
  <tableStyleInfo name="TableStyleLight1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1D149D-64B5-4262-947B-D4893D2425A7}" name="Típusok" displayName="Típusok" ref="S1:T18" totalsRowShown="0" headerRowDxfId="78" dataDxfId="77" tableBorderDxfId="76">
  <autoFilter ref="S1:T18" xr:uid="{CEDDA9FC-207E-4F93-8B37-E63A37F5DE90}">
    <filterColumn colId="0" hiddenButton="1"/>
    <filterColumn colId="1" hiddenButton="1"/>
  </autoFilter>
  <sortState xmlns:xlrd2="http://schemas.microsoft.com/office/spreadsheetml/2017/richdata2" ref="S2:S18">
    <sortCondition ref="S2:S18"/>
  </sortState>
  <tableColumns count="2">
    <tableColumn id="1" xr3:uid="{B487FA90-3212-4749-BF23-A5F98AD702B9}" name="Típus" dataDxfId="75"/>
    <tableColumn id="2" xr3:uid="{DD8C84BF-EFC3-4297-8FFB-698C946CE390}" name="Típusazonosító" dataDxfId="74"/>
  </tableColumns>
  <tableStyleInfo name="TableStyleLight14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66846C-5D71-42B9-B423-C4EB2DA6BF11}" name="Rendelések2" displayName="Rendelések2" ref="A1:O51" totalsRowShown="0" headerRowDxfId="70">
  <autoFilter ref="A1:O51" xr:uid="{A766846C-5D71-42B9-B423-C4EB2DA6BF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A60E130-7E9B-4E70-A015-95E9544CFAAB}" name="Rendelés-_x000a_azonosító"/>
    <tableColumn id="2" xr3:uid="{D7B37409-0495-4803-9E1A-DE0BABF0A4C5}" name="Típus" dataDxfId="69"/>
    <tableColumn id="3" xr3:uid="{CA0E5EDC-DDF0-426D-A9EE-4DA25501D2F8}" name="Típusazonosító" dataDxfId="68">
      <calculatedColumnFormula>INDEX(Típusok2[],MATCH(Rendelések2[[#This Row],[Típus]],Típusok2[Típus],0),2)</calculatedColumnFormula>
    </tableColumn>
    <tableColumn id="4" xr3:uid="{BEFABBA7-16CA-4D14-A3AF-E026EA3A011B}" name="Kapcsolattartó" dataDxfId="67">
      <calculatedColumnFormula>INDEX(Országok2[],MATCH(Rendelések2[[#This Row],[Célország]],Országok2[Célország],0),2)</calculatedColumnFormula>
    </tableColumn>
    <tableColumn id="5" xr3:uid="{515460A7-4934-48E0-9E12-17A3A874B2C0}" name="Célország"/>
    <tableColumn id="12" xr3:uid="{D705855C-24F4-4DB7-87A6-25C7A1CE216F}" name="Sürgős" dataDxfId="66">
      <calculatedColumnFormula>IF(Rendelések2[[#This Row],[Max. várakozási idő]]&lt;10,"!","")</calculatedColumnFormula>
    </tableColumn>
    <tableColumn id="10" xr3:uid="{A1432A65-DE69-401D-8858-53D9424D9B0A}" name="Rendelés dátuma" dataDxfId="65"/>
    <tableColumn id="13" xr3:uid="{9A5ACED9-6992-49B3-B290-AB14F6817AB3}" name="Max. várakozási idő" dataDxfId="64"/>
    <tableColumn id="15" xr3:uid="{E95893AF-6403-4C43-9449-8B90F7E0FCE9}" name="Szállítás legkorábbi dátuma" dataDxfId="63">
      <calculatedColumnFormula>Rendelések2[[#This Row],[Rendelés dátuma]]+minimum</calculatedColumnFormula>
    </tableColumn>
    <tableColumn id="9" xr3:uid="{DAD7DB75-54B3-493E-9EB2-5151D90C5FA8}" name="Szállítás legkésőbbi dátuma" dataDxfId="62">
      <calculatedColumnFormula>Rendelések2[[#This Row],[Rendelés dátuma]]+Rendelések2[[#This Row],[Max. várakozási idő]]</calculatedColumnFormula>
    </tableColumn>
    <tableColumn id="6" xr3:uid="{9A791803-A354-4888-BB1D-49517DA6F98D}" name="Egységár (euró)" dataDxfId="61"/>
    <tableColumn id="16" xr3:uid="{76D4CB95-C4E3-48BE-AB43-BD38C297EC4D}" name="Rendelt mennyiség" dataDxfId="60"/>
    <tableColumn id="18" xr3:uid="{25B792AB-6A17-4C8F-8D1F-BCB874CDE873}" name="Fizetendő (euró)" dataDxfId="59">
      <calculatedColumnFormula>Rendelések2[[#This Row],[Egységár (euró)]]*Rendelések2[[#This Row],[Rendelt mennyiség]]</calculatedColumnFormula>
    </tableColumn>
    <tableColumn id="17" xr3:uid="{17B3EA56-5FCA-4428-A9FA-9B6390490AD6}" name="Fizetendő (forint)" dataDxfId="58">
      <calculatedColumnFormula>Rendelések2[[#This Row],[Fizetendő (euró)]]*$Q$2</calculatedColumnFormula>
    </tableColumn>
    <tableColumn id="8" xr3:uid="{35E7E3AC-5741-4C29-84D7-8C29495D6808}" name="Fizetve" dataDxfId="57"/>
  </tableColumns>
  <tableStyleInfo name="TableStyleLight1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ED9E31-6342-43F0-A814-03E86DCEBE62}" name="Országok2" displayName="Országok2" ref="V1:W28" totalsRowShown="0" dataDxfId="56" tableBorderDxfId="55">
  <autoFilter ref="V1:W28" xr:uid="{792057E0-82CB-40C9-A8A8-42F7FDF7DCAC}">
    <filterColumn colId="0" hiddenButton="1"/>
    <filterColumn colId="1" hiddenButton="1"/>
  </autoFilter>
  <sortState xmlns:xlrd2="http://schemas.microsoft.com/office/spreadsheetml/2017/richdata2" ref="V2:W28">
    <sortCondition ref="V7:V28"/>
  </sortState>
  <tableColumns count="2">
    <tableColumn id="1" xr3:uid="{9D583AE5-42DC-4452-A5D6-14AE2C86172E}" name="Célország" dataDxfId="54"/>
    <tableColumn id="2" xr3:uid="{C9F87DBF-E6E1-4B4B-9003-7645D3B44A62}" name="Kapcsolattartók" dataDxfId="53"/>
  </tableColumns>
  <tableStyleInfo name="TableStyleLight1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7BA09E-69A8-4FC7-8641-961358A6F2AA}" name="Típusok2" displayName="Típusok2" ref="S1:T18" totalsRowShown="0" headerRowDxfId="52" dataDxfId="51" tableBorderDxfId="50">
  <autoFilter ref="S1:T18" xr:uid="{CEDDA9FC-207E-4F93-8B37-E63A37F5DE90}">
    <filterColumn colId="0" hiddenButton="1"/>
    <filterColumn colId="1" hiddenButton="1"/>
  </autoFilter>
  <sortState xmlns:xlrd2="http://schemas.microsoft.com/office/spreadsheetml/2017/richdata2" ref="S2:S18">
    <sortCondition ref="S2:S18"/>
  </sortState>
  <tableColumns count="2">
    <tableColumn id="1" xr3:uid="{CF3F6636-E331-4F69-8638-1572A9A740D8}" name="Típus" dataDxfId="49"/>
    <tableColumn id="2" xr3:uid="{7B3B1F33-447B-4A81-80FE-BDF29FF182BD}" name="Típusazonosító" dataDxfId="48"/>
  </tableColumns>
  <tableStyleInfo name="TableStyleLight1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390E-83DA-4301-A2A5-6B43EF9FAC71}">
  <dimension ref="A1:Y101"/>
  <sheetViews>
    <sheetView tabSelected="1" topLeftCell="B1" workbookViewId="0">
      <selection activeCell="N56" sqref="N56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4.7109375" customWidth="1"/>
    <col min="4" max="4" width="21.85546875" style="3" bestFit="1" customWidth="1"/>
    <col min="5" max="5" width="13.7109375" bestFit="1" customWidth="1"/>
    <col min="6" max="6" width="8" customWidth="1"/>
    <col min="7" max="7" width="14.28515625" customWidth="1"/>
    <col min="8" max="8" width="11.140625" customWidth="1"/>
    <col min="9" max="10" width="14.28515625" customWidth="1"/>
    <col min="11" max="11" width="12.28515625" customWidth="1"/>
    <col min="12" max="13" width="13.28515625" style="3" customWidth="1"/>
    <col min="14" max="14" width="15.42578125" style="3" customWidth="1"/>
    <col min="15" max="15" width="11.7109375" customWidth="1"/>
    <col min="17" max="17" width="11.28515625" customWidth="1"/>
    <col min="18" max="18" width="2.28515625" customWidth="1"/>
    <col min="19" max="19" width="11.7109375" bestFit="1" customWidth="1"/>
    <col min="20" max="20" width="14.7109375" customWidth="1"/>
    <col min="21" max="21" width="2.28515625" customWidth="1"/>
    <col min="22" max="22" width="18.140625" customWidth="1"/>
    <col min="23" max="23" width="17.85546875" customWidth="1"/>
  </cols>
  <sheetData>
    <row r="1" spans="1:25" s="5" customFormat="1" ht="45" x14ac:dyDescent="0.25">
      <c r="A1" s="19" t="s">
        <v>134</v>
      </c>
      <c r="B1" s="20" t="s">
        <v>31</v>
      </c>
      <c r="C1" s="20" t="s">
        <v>116</v>
      </c>
      <c r="D1" s="20" t="s">
        <v>113</v>
      </c>
      <c r="E1" s="20" t="s">
        <v>30</v>
      </c>
      <c r="F1" s="20" t="s">
        <v>110</v>
      </c>
      <c r="G1" s="20" t="s">
        <v>109</v>
      </c>
      <c r="H1" s="20" t="s">
        <v>112</v>
      </c>
      <c r="I1" s="20" t="s">
        <v>111</v>
      </c>
      <c r="J1" s="20" t="s">
        <v>115</v>
      </c>
      <c r="K1" s="20" t="s">
        <v>136</v>
      </c>
      <c r="L1" s="20" t="s">
        <v>137</v>
      </c>
      <c r="M1" s="20" t="s">
        <v>138</v>
      </c>
      <c r="N1" s="20" t="s">
        <v>139</v>
      </c>
      <c r="O1" s="21" t="s">
        <v>2</v>
      </c>
      <c r="Q1" s="16" t="s">
        <v>49</v>
      </c>
      <c r="R1" s="13"/>
      <c r="S1" s="27" t="s">
        <v>31</v>
      </c>
      <c r="T1" s="25" t="s">
        <v>116</v>
      </c>
      <c r="U1" s="13"/>
      <c r="V1" s="13" t="s">
        <v>30</v>
      </c>
      <c r="W1" s="13" t="s">
        <v>114</v>
      </c>
      <c r="X1"/>
      <c r="Y1"/>
    </row>
    <row r="2" spans="1:25" x14ac:dyDescent="0.25">
      <c r="A2" t="s">
        <v>59</v>
      </c>
      <c r="B2" s="2" t="s">
        <v>35</v>
      </c>
      <c r="D2" s="14"/>
      <c r="E2" t="s">
        <v>25</v>
      </c>
      <c r="F2" s="11"/>
      <c r="G2" s="9">
        <v>44499</v>
      </c>
      <c r="H2" s="10">
        <v>16</v>
      </c>
      <c r="I2" s="9"/>
      <c r="J2" s="9"/>
      <c r="K2" s="22">
        <v>13100</v>
      </c>
      <c r="L2" s="28">
        <v>10</v>
      </c>
      <c r="M2" s="22"/>
      <c r="N2" s="24"/>
      <c r="O2" s="7" t="s">
        <v>0</v>
      </c>
      <c r="Q2" s="18">
        <v>360</v>
      </c>
      <c r="R2" s="1"/>
      <c r="S2" s="6" t="s">
        <v>34</v>
      </c>
      <c r="T2" s="26" t="s">
        <v>117</v>
      </c>
      <c r="U2" s="1"/>
      <c r="V2" s="6" t="s">
        <v>3</v>
      </c>
      <c r="W2" s="6" t="s">
        <v>55</v>
      </c>
    </row>
    <row r="3" spans="1:25" x14ac:dyDescent="0.25">
      <c r="A3" t="s">
        <v>60</v>
      </c>
      <c r="B3" s="2" t="s">
        <v>40</v>
      </c>
      <c r="D3" s="14"/>
      <c r="E3" t="s">
        <v>7</v>
      </c>
      <c r="F3" s="12"/>
      <c r="G3" s="9">
        <v>44112</v>
      </c>
      <c r="H3" s="10">
        <v>15</v>
      </c>
      <c r="I3" s="9"/>
      <c r="J3" s="9"/>
      <c r="K3" s="22">
        <v>14300</v>
      </c>
      <c r="L3" s="28">
        <v>14</v>
      </c>
      <c r="M3" s="22"/>
      <c r="N3" s="24"/>
      <c r="O3" s="7" t="s">
        <v>0</v>
      </c>
      <c r="S3" s="6" t="s">
        <v>35</v>
      </c>
      <c r="T3" s="26" t="s">
        <v>118</v>
      </c>
      <c r="V3" s="6" t="s">
        <v>4</v>
      </c>
      <c r="W3" s="6" t="s">
        <v>54</v>
      </c>
    </row>
    <row r="4" spans="1:25" x14ac:dyDescent="0.25">
      <c r="A4" t="s">
        <v>61</v>
      </c>
      <c r="B4" s="2" t="s">
        <v>37</v>
      </c>
      <c r="D4" s="14"/>
      <c r="E4" t="s">
        <v>17</v>
      </c>
      <c r="F4" s="12"/>
      <c r="G4" s="9">
        <v>44604</v>
      </c>
      <c r="H4" s="10">
        <v>20</v>
      </c>
      <c r="I4" s="9"/>
      <c r="J4" s="9"/>
      <c r="K4" s="22">
        <v>11900</v>
      </c>
      <c r="L4" s="28">
        <v>16</v>
      </c>
      <c r="M4" s="22"/>
      <c r="N4" s="24"/>
      <c r="O4" s="7" t="s">
        <v>1</v>
      </c>
      <c r="Q4" s="29" t="s">
        <v>135</v>
      </c>
      <c r="R4" s="17"/>
      <c r="S4" s="6" t="s">
        <v>43</v>
      </c>
      <c r="T4" s="26" t="s">
        <v>119</v>
      </c>
      <c r="U4" s="17"/>
      <c r="V4" s="6" t="s">
        <v>5</v>
      </c>
      <c r="W4" s="6" t="s">
        <v>50</v>
      </c>
    </row>
    <row r="5" spans="1:25" x14ac:dyDescent="0.25">
      <c r="A5" t="s">
        <v>62</v>
      </c>
      <c r="B5" s="2" t="s">
        <v>38</v>
      </c>
      <c r="D5" s="14"/>
      <c r="E5" t="s">
        <v>20</v>
      </c>
      <c r="F5" s="12"/>
      <c r="G5" s="9">
        <v>44751</v>
      </c>
      <c r="H5" s="10">
        <v>15</v>
      </c>
      <c r="I5" s="9"/>
      <c r="J5" s="9"/>
      <c r="K5" s="22">
        <v>10100</v>
      </c>
      <c r="L5" s="28">
        <v>15</v>
      </c>
      <c r="M5" s="22"/>
      <c r="N5" s="24"/>
      <c r="O5" s="7" t="s">
        <v>0</v>
      </c>
      <c r="Q5" s="30">
        <v>5</v>
      </c>
      <c r="R5" s="15"/>
      <c r="S5" s="6" t="s">
        <v>38</v>
      </c>
      <c r="T5" s="26" t="s">
        <v>120</v>
      </c>
      <c r="U5" s="15"/>
      <c r="V5" s="6" t="s">
        <v>6</v>
      </c>
      <c r="W5" s="6" t="s">
        <v>56</v>
      </c>
    </row>
    <row r="6" spans="1:25" x14ac:dyDescent="0.25">
      <c r="A6" t="s">
        <v>63</v>
      </c>
      <c r="B6" s="2" t="s">
        <v>33</v>
      </c>
      <c r="D6" s="14"/>
      <c r="E6" t="s">
        <v>20</v>
      </c>
      <c r="F6" s="12"/>
      <c r="G6" s="9">
        <v>44657</v>
      </c>
      <c r="H6" s="10">
        <v>9</v>
      </c>
      <c r="I6" s="9"/>
      <c r="J6" s="9"/>
      <c r="K6" s="22">
        <v>13600</v>
      </c>
      <c r="L6" s="28">
        <v>15</v>
      </c>
      <c r="M6" s="22"/>
      <c r="N6" s="24"/>
      <c r="O6" s="7" t="s">
        <v>1</v>
      </c>
      <c r="S6" s="6" t="s">
        <v>47</v>
      </c>
      <c r="T6" s="26" t="s">
        <v>121</v>
      </c>
      <c r="V6" s="6" t="s">
        <v>7</v>
      </c>
      <c r="W6" s="6" t="s">
        <v>58</v>
      </c>
    </row>
    <row r="7" spans="1:25" x14ac:dyDescent="0.25">
      <c r="A7" t="s">
        <v>64</v>
      </c>
      <c r="B7" s="2" t="s">
        <v>38</v>
      </c>
      <c r="D7" s="14"/>
      <c r="E7" t="s">
        <v>26</v>
      </c>
      <c r="F7" s="12"/>
      <c r="G7" s="9">
        <v>44106</v>
      </c>
      <c r="H7" s="10">
        <v>21</v>
      </c>
      <c r="I7" s="9"/>
      <c r="J7" s="9"/>
      <c r="K7" s="22">
        <v>9400</v>
      </c>
      <c r="L7" s="28">
        <v>10</v>
      </c>
      <c r="M7" s="22"/>
      <c r="N7" s="24"/>
      <c r="O7" s="7" t="s">
        <v>1</v>
      </c>
      <c r="S7" s="6" t="s">
        <v>44</v>
      </c>
      <c r="T7" s="26" t="s">
        <v>122</v>
      </c>
      <c r="V7" s="6" t="s">
        <v>8</v>
      </c>
      <c r="W7" s="6" t="s">
        <v>53</v>
      </c>
    </row>
    <row r="8" spans="1:25" x14ac:dyDescent="0.25">
      <c r="A8" t="s">
        <v>65</v>
      </c>
      <c r="B8" s="2" t="s">
        <v>37</v>
      </c>
      <c r="D8" s="14"/>
      <c r="E8" t="s">
        <v>19</v>
      </c>
      <c r="F8" s="12"/>
      <c r="G8" s="9">
        <v>44359</v>
      </c>
      <c r="H8" s="10">
        <v>19</v>
      </c>
      <c r="I8" s="9"/>
      <c r="J8" s="9"/>
      <c r="K8" s="22">
        <v>12500</v>
      </c>
      <c r="L8" s="28">
        <v>19</v>
      </c>
      <c r="M8" s="22"/>
      <c r="N8" s="24"/>
      <c r="O8" s="7" t="s">
        <v>1</v>
      </c>
      <c r="S8" s="6" t="s">
        <v>40</v>
      </c>
      <c r="T8" s="26" t="s">
        <v>123</v>
      </c>
      <c r="V8" s="6" t="s">
        <v>9</v>
      </c>
      <c r="W8" s="6" t="s">
        <v>54</v>
      </c>
    </row>
    <row r="9" spans="1:25" x14ac:dyDescent="0.25">
      <c r="A9" t="s">
        <v>66</v>
      </c>
      <c r="B9" s="2" t="s">
        <v>33</v>
      </c>
      <c r="D9" s="14"/>
      <c r="E9" t="s">
        <v>3</v>
      </c>
      <c r="F9" s="12"/>
      <c r="G9" s="9">
        <v>44490</v>
      </c>
      <c r="H9" s="10">
        <v>21</v>
      </c>
      <c r="I9" s="9"/>
      <c r="J9" s="9"/>
      <c r="K9" s="22">
        <v>13200</v>
      </c>
      <c r="L9" s="28">
        <v>10</v>
      </c>
      <c r="M9" s="22"/>
      <c r="N9" s="24"/>
      <c r="O9" s="7" t="s">
        <v>1</v>
      </c>
      <c r="S9" s="6" t="s">
        <v>33</v>
      </c>
      <c r="T9" s="26" t="s">
        <v>124</v>
      </c>
      <c r="V9" s="6" t="s">
        <v>10</v>
      </c>
      <c r="W9" s="6" t="s">
        <v>52</v>
      </c>
    </row>
    <row r="10" spans="1:25" x14ac:dyDescent="0.25">
      <c r="A10" t="s">
        <v>67</v>
      </c>
      <c r="B10" s="2" t="s">
        <v>33</v>
      </c>
      <c r="D10" s="14"/>
      <c r="E10" t="s">
        <v>6</v>
      </c>
      <c r="F10" s="12"/>
      <c r="G10" s="9">
        <v>44704</v>
      </c>
      <c r="H10" s="10">
        <v>9</v>
      </c>
      <c r="I10" s="9"/>
      <c r="J10" s="9"/>
      <c r="K10" s="22">
        <v>9200</v>
      </c>
      <c r="L10" s="28">
        <v>13</v>
      </c>
      <c r="M10" s="22"/>
      <c r="N10" s="24"/>
      <c r="O10" s="7" t="s">
        <v>0</v>
      </c>
      <c r="S10" s="6" t="s">
        <v>45</v>
      </c>
      <c r="T10" s="26" t="s">
        <v>125</v>
      </c>
      <c r="V10" s="6" t="s">
        <v>11</v>
      </c>
      <c r="W10" s="6" t="s">
        <v>52</v>
      </c>
    </row>
    <row r="11" spans="1:25" x14ac:dyDescent="0.25">
      <c r="A11" t="s">
        <v>68</v>
      </c>
      <c r="B11" s="2" t="s">
        <v>32</v>
      </c>
      <c r="D11" s="14"/>
      <c r="E11" t="s">
        <v>15</v>
      </c>
      <c r="F11" s="12"/>
      <c r="G11" s="9">
        <v>44201</v>
      </c>
      <c r="H11" s="10">
        <v>26</v>
      </c>
      <c r="I11" s="9"/>
      <c r="J11" s="9"/>
      <c r="K11" s="22">
        <v>13300</v>
      </c>
      <c r="L11" s="28">
        <v>18</v>
      </c>
      <c r="M11" s="22"/>
      <c r="N11" s="24"/>
      <c r="O11" s="7" t="s">
        <v>0</v>
      </c>
      <c r="S11" s="6" t="s">
        <v>37</v>
      </c>
      <c r="T11" s="26" t="s">
        <v>126</v>
      </c>
      <c r="V11" s="6" t="s">
        <v>12</v>
      </c>
      <c r="W11" s="6" t="s">
        <v>51</v>
      </c>
    </row>
    <row r="12" spans="1:25" x14ac:dyDescent="0.25">
      <c r="A12" t="s">
        <v>69</v>
      </c>
      <c r="B12" s="2" t="s">
        <v>34</v>
      </c>
      <c r="D12" s="14"/>
      <c r="E12" t="s">
        <v>10</v>
      </c>
      <c r="F12" s="12"/>
      <c r="G12" s="9">
        <v>44690</v>
      </c>
      <c r="H12" s="10">
        <v>25</v>
      </c>
      <c r="I12" s="9"/>
      <c r="J12" s="9"/>
      <c r="K12" s="22">
        <v>14700</v>
      </c>
      <c r="L12" s="28">
        <v>11</v>
      </c>
      <c r="M12" s="22"/>
      <c r="N12" s="24"/>
      <c r="O12" s="7" t="s">
        <v>0</v>
      </c>
      <c r="S12" s="6" t="s">
        <v>32</v>
      </c>
      <c r="T12" s="26" t="s">
        <v>127</v>
      </c>
      <c r="V12" s="6" t="s">
        <v>13</v>
      </c>
      <c r="W12" s="6" t="s">
        <v>51</v>
      </c>
    </row>
    <row r="13" spans="1:25" x14ac:dyDescent="0.25">
      <c r="A13" t="s">
        <v>70</v>
      </c>
      <c r="B13" s="2" t="s">
        <v>43</v>
      </c>
      <c r="D13" s="14"/>
      <c r="E13" t="s">
        <v>5</v>
      </c>
      <c r="F13" s="12"/>
      <c r="G13" s="9">
        <v>44074</v>
      </c>
      <c r="H13" s="10">
        <v>23</v>
      </c>
      <c r="I13" s="9"/>
      <c r="J13" s="9"/>
      <c r="K13" s="22">
        <v>12700</v>
      </c>
      <c r="L13" s="28">
        <v>12</v>
      </c>
      <c r="M13" s="22"/>
      <c r="N13" s="24"/>
      <c r="O13" s="7" t="s">
        <v>1</v>
      </c>
      <c r="S13" s="6" t="s">
        <v>48</v>
      </c>
      <c r="T13" s="26" t="s">
        <v>128</v>
      </c>
      <c r="V13" s="6" t="s">
        <v>14</v>
      </c>
      <c r="W13" s="6" t="s">
        <v>54</v>
      </c>
    </row>
    <row r="14" spans="1:25" x14ac:dyDescent="0.25">
      <c r="A14" t="s">
        <v>71</v>
      </c>
      <c r="B14" s="2" t="s">
        <v>32</v>
      </c>
      <c r="D14" s="14"/>
      <c r="E14" t="s">
        <v>25</v>
      </c>
      <c r="F14" s="12"/>
      <c r="G14" s="9">
        <v>44237</v>
      </c>
      <c r="H14" s="10">
        <v>30</v>
      </c>
      <c r="I14" s="9"/>
      <c r="J14" s="9"/>
      <c r="K14" s="22">
        <v>13800</v>
      </c>
      <c r="L14" s="28">
        <v>16</v>
      </c>
      <c r="M14" s="22"/>
      <c r="N14" s="24"/>
      <c r="O14" s="7" t="s">
        <v>0</v>
      </c>
      <c r="S14" s="6" t="s">
        <v>42</v>
      </c>
      <c r="T14" s="26" t="s">
        <v>129</v>
      </c>
      <c r="V14" s="6" t="s">
        <v>15</v>
      </c>
      <c r="W14" s="6" t="s">
        <v>54</v>
      </c>
    </row>
    <row r="15" spans="1:25" x14ac:dyDescent="0.25">
      <c r="A15" t="s">
        <v>72</v>
      </c>
      <c r="B15" s="2" t="s">
        <v>41</v>
      </c>
      <c r="D15" s="14"/>
      <c r="E15" t="s">
        <v>11</v>
      </c>
      <c r="F15" s="12"/>
      <c r="G15" s="9">
        <v>44350</v>
      </c>
      <c r="H15" s="10">
        <v>11</v>
      </c>
      <c r="I15" s="9"/>
      <c r="J15" s="9"/>
      <c r="K15" s="22">
        <v>14300</v>
      </c>
      <c r="L15" s="28">
        <v>12</v>
      </c>
      <c r="M15" s="22"/>
      <c r="N15" s="24"/>
      <c r="O15" s="7" t="s">
        <v>1</v>
      </c>
      <c r="S15" s="6" t="s">
        <v>46</v>
      </c>
      <c r="T15" s="26" t="s">
        <v>130</v>
      </c>
      <c r="V15" s="6" t="s">
        <v>16</v>
      </c>
      <c r="W15" s="6" t="s">
        <v>58</v>
      </c>
    </row>
    <row r="16" spans="1:25" x14ac:dyDescent="0.25">
      <c r="A16" t="s">
        <v>73</v>
      </c>
      <c r="B16" s="2" t="s">
        <v>45</v>
      </c>
      <c r="D16" s="14"/>
      <c r="E16" t="s">
        <v>23</v>
      </c>
      <c r="F16" s="12"/>
      <c r="G16" s="9">
        <v>44262</v>
      </c>
      <c r="H16" s="10">
        <v>12</v>
      </c>
      <c r="I16" s="9"/>
      <c r="J16" s="9"/>
      <c r="K16" s="22">
        <v>8700</v>
      </c>
      <c r="L16" s="28">
        <v>15</v>
      </c>
      <c r="M16" s="22"/>
      <c r="N16" s="24"/>
      <c r="O16" s="7" t="s">
        <v>1</v>
      </c>
      <c r="S16" s="6" t="s">
        <v>36</v>
      </c>
      <c r="T16" s="26" t="s">
        <v>131</v>
      </c>
      <c r="V16" s="6" t="s">
        <v>17</v>
      </c>
      <c r="W16" s="6" t="s">
        <v>52</v>
      </c>
    </row>
    <row r="17" spans="1:23" x14ac:dyDescent="0.25">
      <c r="A17" t="s">
        <v>74</v>
      </c>
      <c r="B17" s="2" t="s">
        <v>38</v>
      </c>
      <c r="D17" s="14"/>
      <c r="E17" t="s">
        <v>13</v>
      </c>
      <c r="F17" s="12"/>
      <c r="G17" s="9">
        <v>44314</v>
      </c>
      <c r="H17" s="10">
        <v>10</v>
      </c>
      <c r="I17" s="9"/>
      <c r="J17" s="9"/>
      <c r="K17" s="22">
        <v>11800</v>
      </c>
      <c r="L17" s="28">
        <v>12</v>
      </c>
      <c r="M17" s="22"/>
      <c r="N17" s="24"/>
      <c r="O17" s="7" t="s">
        <v>0</v>
      </c>
      <c r="S17" s="6" t="s">
        <v>39</v>
      </c>
      <c r="T17" s="26" t="s">
        <v>132</v>
      </c>
      <c r="V17" s="6" t="s">
        <v>18</v>
      </c>
      <c r="W17" s="6" t="s">
        <v>52</v>
      </c>
    </row>
    <row r="18" spans="1:23" x14ac:dyDescent="0.25">
      <c r="A18" t="s">
        <v>75</v>
      </c>
      <c r="B18" s="2" t="s">
        <v>32</v>
      </c>
      <c r="D18" s="14"/>
      <c r="E18" t="s">
        <v>18</v>
      </c>
      <c r="F18" s="12"/>
      <c r="G18" s="9">
        <v>44218</v>
      </c>
      <c r="H18" s="10">
        <v>12</v>
      </c>
      <c r="I18" s="9"/>
      <c r="J18" s="9"/>
      <c r="K18" s="22">
        <v>14100</v>
      </c>
      <c r="L18" s="28">
        <v>15</v>
      </c>
      <c r="M18" s="22"/>
      <c r="N18" s="24"/>
      <c r="O18" s="7" t="s">
        <v>0</v>
      </c>
      <c r="S18" s="6" t="s">
        <v>41</v>
      </c>
      <c r="T18" s="26" t="s">
        <v>133</v>
      </c>
      <c r="V18" s="6" t="s">
        <v>19</v>
      </c>
      <c r="W18" s="6" t="s">
        <v>54</v>
      </c>
    </row>
    <row r="19" spans="1:23" x14ac:dyDescent="0.25">
      <c r="A19" t="s">
        <v>76</v>
      </c>
      <c r="B19" s="2" t="s">
        <v>38</v>
      </c>
      <c r="D19" s="14"/>
      <c r="E19" t="s">
        <v>12</v>
      </c>
      <c r="F19" s="12"/>
      <c r="G19" s="9">
        <v>44565</v>
      </c>
      <c r="H19" s="10">
        <v>16</v>
      </c>
      <c r="I19" s="9"/>
      <c r="J19" s="9"/>
      <c r="K19" s="22">
        <v>13700</v>
      </c>
      <c r="L19" s="28">
        <v>20</v>
      </c>
      <c r="M19" s="22"/>
      <c r="N19" s="24"/>
      <c r="O19" s="7" t="s">
        <v>0</v>
      </c>
      <c r="V19" s="6" t="s">
        <v>20</v>
      </c>
      <c r="W19" s="6" t="s">
        <v>58</v>
      </c>
    </row>
    <row r="20" spans="1:23" x14ac:dyDescent="0.25">
      <c r="A20" t="s">
        <v>77</v>
      </c>
      <c r="B20" s="2" t="s">
        <v>44</v>
      </c>
      <c r="D20" s="14"/>
      <c r="E20" t="s">
        <v>24</v>
      </c>
      <c r="F20" s="12"/>
      <c r="G20" s="9">
        <v>44580</v>
      </c>
      <c r="H20" s="10">
        <v>10</v>
      </c>
      <c r="I20" s="9"/>
      <c r="J20" s="9"/>
      <c r="K20" s="22">
        <v>13700</v>
      </c>
      <c r="L20" s="28">
        <v>20</v>
      </c>
      <c r="M20" s="22"/>
      <c r="N20" s="24"/>
      <c r="O20" s="7" t="s">
        <v>1</v>
      </c>
      <c r="V20" s="6" t="s">
        <v>21</v>
      </c>
      <c r="W20" s="6" t="s">
        <v>51</v>
      </c>
    </row>
    <row r="21" spans="1:23" x14ac:dyDescent="0.25">
      <c r="A21" t="s">
        <v>78</v>
      </c>
      <c r="B21" s="2" t="s">
        <v>41</v>
      </c>
      <c r="D21" s="14"/>
      <c r="E21" t="s">
        <v>7</v>
      </c>
      <c r="F21" s="12"/>
      <c r="G21" s="9">
        <v>44331</v>
      </c>
      <c r="H21" s="10">
        <v>16</v>
      </c>
      <c r="I21" s="9"/>
      <c r="J21" s="9"/>
      <c r="K21" s="22">
        <v>14200</v>
      </c>
      <c r="L21" s="28">
        <v>15</v>
      </c>
      <c r="M21" s="22"/>
      <c r="N21" s="24"/>
      <c r="O21" s="7" t="s">
        <v>0</v>
      </c>
      <c r="V21" s="6" t="s">
        <v>22</v>
      </c>
      <c r="W21" s="6" t="s">
        <v>55</v>
      </c>
    </row>
    <row r="22" spans="1:23" x14ac:dyDescent="0.25">
      <c r="A22" t="s">
        <v>79</v>
      </c>
      <c r="B22" s="2" t="s">
        <v>42</v>
      </c>
      <c r="D22" s="14"/>
      <c r="E22" t="s">
        <v>19</v>
      </c>
      <c r="F22" s="12"/>
      <c r="G22" s="9">
        <v>44442</v>
      </c>
      <c r="H22" s="10">
        <v>12</v>
      </c>
      <c r="I22" s="9"/>
      <c r="J22" s="9"/>
      <c r="K22" s="22">
        <v>13700</v>
      </c>
      <c r="L22" s="28">
        <v>13</v>
      </c>
      <c r="M22" s="22"/>
      <c r="N22" s="24"/>
      <c r="O22" s="7" t="s">
        <v>0</v>
      </c>
      <c r="V22" s="6" t="s">
        <v>23</v>
      </c>
      <c r="W22" s="6" t="s">
        <v>51</v>
      </c>
    </row>
    <row r="23" spans="1:23" x14ac:dyDescent="0.25">
      <c r="A23" t="s">
        <v>80</v>
      </c>
      <c r="B23" s="2" t="s">
        <v>42</v>
      </c>
      <c r="D23" s="14"/>
      <c r="E23" t="s">
        <v>22</v>
      </c>
      <c r="F23" s="12"/>
      <c r="G23" s="9">
        <v>44358</v>
      </c>
      <c r="H23" s="10">
        <v>16</v>
      </c>
      <c r="I23" s="9"/>
      <c r="J23" s="9"/>
      <c r="K23" s="22">
        <v>9200</v>
      </c>
      <c r="L23" s="28">
        <v>16</v>
      </c>
      <c r="M23" s="22"/>
      <c r="N23" s="24"/>
      <c r="O23" s="7" t="s">
        <v>1</v>
      </c>
      <c r="V23" s="6" t="s">
        <v>24</v>
      </c>
      <c r="W23" s="6" t="s">
        <v>57</v>
      </c>
    </row>
    <row r="24" spans="1:23" x14ac:dyDescent="0.25">
      <c r="A24" t="s">
        <v>81</v>
      </c>
      <c r="B24" s="2" t="s">
        <v>48</v>
      </c>
      <c r="D24" s="14"/>
      <c r="E24" t="s">
        <v>7</v>
      </c>
      <c r="F24" s="12"/>
      <c r="G24" s="9">
        <v>44398</v>
      </c>
      <c r="H24" s="10">
        <v>20</v>
      </c>
      <c r="I24" s="9"/>
      <c r="J24" s="9"/>
      <c r="K24" s="22">
        <v>13300</v>
      </c>
      <c r="L24" s="28">
        <v>16</v>
      </c>
      <c r="M24" s="22"/>
      <c r="N24" s="24"/>
      <c r="O24" s="7" t="s">
        <v>0</v>
      </c>
      <c r="V24" s="6" t="s">
        <v>25</v>
      </c>
      <c r="W24" s="6" t="s">
        <v>50</v>
      </c>
    </row>
    <row r="25" spans="1:23" x14ac:dyDescent="0.25">
      <c r="A25" t="s">
        <v>82</v>
      </c>
      <c r="B25" s="2" t="s">
        <v>41</v>
      </c>
      <c r="D25" s="14"/>
      <c r="E25" t="s">
        <v>18</v>
      </c>
      <c r="F25" s="12"/>
      <c r="G25" s="9">
        <v>44074</v>
      </c>
      <c r="H25" s="10">
        <v>13</v>
      </c>
      <c r="I25" s="9"/>
      <c r="J25" s="9"/>
      <c r="K25" s="22">
        <v>9000</v>
      </c>
      <c r="L25" s="28">
        <v>12</v>
      </c>
      <c r="M25" s="22"/>
      <c r="N25" s="24"/>
      <c r="O25" s="7" t="s">
        <v>1</v>
      </c>
      <c r="V25" s="6" t="s">
        <v>26</v>
      </c>
      <c r="W25" s="6" t="s">
        <v>57</v>
      </c>
    </row>
    <row r="26" spans="1:23" x14ac:dyDescent="0.25">
      <c r="A26" t="s">
        <v>83</v>
      </c>
      <c r="B26" s="2" t="s">
        <v>48</v>
      </c>
      <c r="D26" s="14"/>
      <c r="E26" t="s">
        <v>8</v>
      </c>
      <c r="F26" s="12"/>
      <c r="G26" s="9">
        <v>44145</v>
      </c>
      <c r="H26" s="10">
        <v>24</v>
      </c>
      <c r="I26" s="9"/>
      <c r="J26" s="9"/>
      <c r="K26" s="22">
        <v>12300</v>
      </c>
      <c r="L26" s="28">
        <v>14</v>
      </c>
      <c r="M26" s="22"/>
      <c r="N26" s="24"/>
      <c r="O26" s="7" t="s">
        <v>0</v>
      </c>
      <c r="V26" s="6" t="s">
        <v>27</v>
      </c>
      <c r="W26" s="6" t="s">
        <v>53</v>
      </c>
    </row>
    <row r="27" spans="1:23" x14ac:dyDescent="0.25">
      <c r="A27" t="s">
        <v>84</v>
      </c>
      <c r="B27" s="2" t="s">
        <v>42</v>
      </c>
      <c r="D27" s="14"/>
      <c r="E27" t="s">
        <v>4</v>
      </c>
      <c r="F27" s="12"/>
      <c r="G27" s="9">
        <v>44090</v>
      </c>
      <c r="H27" s="10">
        <v>30</v>
      </c>
      <c r="I27" s="9"/>
      <c r="J27" s="9"/>
      <c r="K27" s="22">
        <v>10300</v>
      </c>
      <c r="L27" s="28">
        <v>12</v>
      </c>
      <c r="M27" s="22"/>
      <c r="N27" s="24"/>
      <c r="O27" s="7" t="s">
        <v>0</v>
      </c>
      <c r="V27" s="6" t="s">
        <v>28</v>
      </c>
      <c r="W27" s="6" t="s">
        <v>58</v>
      </c>
    </row>
    <row r="28" spans="1:23" x14ac:dyDescent="0.25">
      <c r="A28" t="s">
        <v>85</v>
      </c>
      <c r="B28" s="2" t="s">
        <v>47</v>
      </c>
      <c r="D28" s="14"/>
      <c r="E28" t="s">
        <v>8</v>
      </c>
      <c r="F28" s="12"/>
      <c r="G28" s="9">
        <v>44509</v>
      </c>
      <c r="H28" s="10">
        <v>16</v>
      </c>
      <c r="I28" s="9"/>
      <c r="J28" s="9"/>
      <c r="K28" s="22">
        <v>14100</v>
      </c>
      <c r="L28" s="28">
        <v>14</v>
      </c>
      <c r="M28" s="22"/>
      <c r="N28" s="24"/>
      <c r="O28" s="7" t="s">
        <v>0</v>
      </c>
      <c r="V28" s="6" t="s">
        <v>29</v>
      </c>
      <c r="W28" s="6" t="s">
        <v>50</v>
      </c>
    </row>
    <row r="29" spans="1:23" x14ac:dyDescent="0.25">
      <c r="A29" t="s">
        <v>86</v>
      </c>
      <c r="B29" s="2" t="s">
        <v>39</v>
      </c>
      <c r="D29" s="14"/>
      <c r="E29" t="s">
        <v>3</v>
      </c>
      <c r="F29" s="12"/>
      <c r="G29" s="9">
        <v>44109</v>
      </c>
      <c r="H29" s="10">
        <v>12</v>
      </c>
      <c r="I29" s="9"/>
      <c r="J29" s="9"/>
      <c r="K29" s="22">
        <v>11100</v>
      </c>
      <c r="L29" s="28">
        <v>16</v>
      </c>
      <c r="M29" s="22"/>
      <c r="N29" s="24"/>
      <c r="O29" s="7" t="s">
        <v>0</v>
      </c>
    </row>
    <row r="30" spans="1:23" x14ac:dyDescent="0.25">
      <c r="A30" t="s">
        <v>87</v>
      </c>
      <c r="B30" s="2" t="s">
        <v>45</v>
      </c>
      <c r="D30" s="14"/>
      <c r="E30" t="s">
        <v>14</v>
      </c>
      <c r="F30" s="12"/>
      <c r="G30" s="9">
        <v>44372</v>
      </c>
      <c r="H30" s="10">
        <v>10</v>
      </c>
      <c r="I30" s="9"/>
      <c r="J30" s="9"/>
      <c r="K30" s="22">
        <v>9700</v>
      </c>
      <c r="L30" s="28">
        <v>10</v>
      </c>
      <c r="M30" s="22"/>
      <c r="N30" s="24"/>
      <c r="O30" s="7" t="s">
        <v>1</v>
      </c>
    </row>
    <row r="31" spans="1:23" x14ac:dyDescent="0.25">
      <c r="A31" t="s">
        <v>88</v>
      </c>
      <c r="B31" s="2" t="s">
        <v>41</v>
      </c>
      <c r="D31" s="14"/>
      <c r="E31" t="s">
        <v>15</v>
      </c>
      <c r="F31" s="12"/>
      <c r="G31" s="9">
        <v>44266</v>
      </c>
      <c r="H31" s="10">
        <v>15</v>
      </c>
      <c r="I31" s="9"/>
      <c r="J31" s="9"/>
      <c r="K31" s="22">
        <v>8000</v>
      </c>
      <c r="L31" s="28">
        <v>15</v>
      </c>
      <c r="M31" s="22"/>
      <c r="N31" s="24"/>
      <c r="O31" s="7" t="s">
        <v>1</v>
      </c>
    </row>
    <row r="32" spans="1:23" x14ac:dyDescent="0.25">
      <c r="A32" t="s">
        <v>89</v>
      </c>
      <c r="B32" s="2" t="s">
        <v>42</v>
      </c>
      <c r="D32" s="14"/>
      <c r="E32" t="s">
        <v>17</v>
      </c>
      <c r="F32" s="12"/>
      <c r="G32" s="9">
        <v>44536</v>
      </c>
      <c r="H32" s="10">
        <v>30</v>
      </c>
      <c r="I32" s="9"/>
      <c r="J32" s="9"/>
      <c r="K32" s="22">
        <v>13100</v>
      </c>
      <c r="L32" s="28">
        <v>11</v>
      </c>
      <c r="M32" s="22"/>
      <c r="N32" s="24"/>
      <c r="O32" s="7" t="s">
        <v>0</v>
      </c>
    </row>
    <row r="33" spans="1:15" x14ac:dyDescent="0.25">
      <c r="A33" t="s">
        <v>90</v>
      </c>
      <c r="B33" s="2" t="s">
        <v>33</v>
      </c>
      <c r="D33" s="14"/>
      <c r="E33" t="s">
        <v>19</v>
      </c>
      <c r="F33" s="12"/>
      <c r="G33" s="9">
        <v>44669</v>
      </c>
      <c r="H33" s="10">
        <v>16</v>
      </c>
      <c r="I33" s="9"/>
      <c r="J33" s="9"/>
      <c r="K33" s="22">
        <v>12500</v>
      </c>
      <c r="L33" s="28">
        <v>10</v>
      </c>
      <c r="M33" s="22"/>
      <c r="N33" s="24"/>
      <c r="O33" s="7" t="s">
        <v>0</v>
      </c>
    </row>
    <row r="34" spans="1:15" x14ac:dyDescent="0.25">
      <c r="A34" t="s">
        <v>91</v>
      </c>
      <c r="B34" s="2" t="s">
        <v>41</v>
      </c>
      <c r="D34" s="14"/>
      <c r="E34" t="s">
        <v>24</v>
      </c>
      <c r="F34" s="12"/>
      <c r="G34" s="9">
        <v>44691</v>
      </c>
      <c r="H34" s="10">
        <v>12</v>
      </c>
      <c r="I34" s="9"/>
      <c r="J34" s="9"/>
      <c r="K34" s="22">
        <v>10000</v>
      </c>
      <c r="L34" s="28">
        <v>16</v>
      </c>
      <c r="M34" s="22"/>
      <c r="N34" s="24"/>
      <c r="O34" s="7" t="s">
        <v>0</v>
      </c>
    </row>
    <row r="35" spans="1:15" x14ac:dyDescent="0.25">
      <c r="A35" t="s">
        <v>92</v>
      </c>
      <c r="B35" s="2" t="s">
        <v>44</v>
      </c>
      <c r="D35" s="14"/>
      <c r="E35" t="s">
        <v>16</v>
      </c>
      <c r="F35" s="12"/>
      <c r="G35" s="9">
        <v>44155</v>
      </c>
      <c r="H35" s="10">
        <v>9</v>
      </c>
      <c r="I35" s="9"/>
      <c r="J35" s="9"/>
      <c r="K35" s="22">
        <v>9400</v>
      </c>
      <c r="L35" s="28">
        <v>14</v>
      </c>
      <c r="M35" s="22"/>
      <c r="N35" s="24"/>
      <c r="O35" s="7" t="s">
        <v>1</v>
      </c>
    </row>
    <row r="36" spans="1:15" x14ac:dyDescent="0.25">
      <c r="A36" t="s">
        <v>93</v>
      </c>
      <c r="B36" s="2" t="s">
        <v>37</v>
      </c>
      <c r="D36" s="14"/>
      <c r="E36" t="s">
        <v>3</v>
      </c>
      <c r="F36" s="12"/>
      <c r="G36" s="9">
        <v>44605</v>
      </c>
      <c r="H36" s="10">
        <v>15</v>
      </c>
      <c r="I36" s="9"/>
      <c r="J36" s="9"/>
      <c r="K36" s="22">
        <v>8700</v>
      </c>
      <c r="L36" s="28">
        <v>17</v>
      </c>
      <c r="M36" s="22"/>
      <c r="N36" s="24"/>
      <c r="O36" s="7" t="s">
        <v>1</v>
      </c>
    </row>
    <row r="37" spans="1:15" x14ac:dyDescent="0.25">
      <c r="A37" t="s">
        <v>94</v>
      </c>
      <c r="B37" s="2" t="s">
        <v>35</v>
      </c>
      <c r="D37" s="14"/>
      <c r="E37" t="s">
        <v>12</v>
      </c>
      <c r="F37" s="12"/>
      <c r="G37" s="9">
        <v>44459</v>
      </c>
      <c r="H37" s="10">
        <v>29</v>
      </c>
      <c r="I37" s="9"/>
      <c r="J37" s="9"/>
      <c r="K37" s="22">
        <v>10400</v>
      </c>
      <c r="L37" s="28">
        <v>17</v>
      </c>
      <c r="M37" s="22"/>
      <c r="N37" s="24"/>
      <c r="O37" s="7" t="s">
        <v>0</v>
      </c>
    </row>
    <row r="38" spans="1:15" x14ac:dyDescent="0.25">
      <c r="A38" t="s">
        <v>95</v>
      </c>
      <c r="B38" s="2" t="s">
        <v>44</v>
      </c>
      <c r="D38" s="14"/>
      <c r="E38" t="s">
        <v>17</v>
      </c>
      <c r="F38" s="12"/>
      <c r="G38" s="9">
        <v>44720</v>
      </c>
      <c r="H38" s="10">
        <v>28</v>
      </c>
      <c r="I38" s="9"/>
      <c r="J38" s="9"/>
      <c r="K38" s="22">
        <v>9500</v>
      </c>
      <c r="L38" s="28">
        <v>11</v>
      </c>
      <c r="M38" s="22"/>
      <c r="N38" s="24"/>
      <c r="O38" s="7" t="s">
        <v>0</v>
      </c>
    </row>
    <row r="39" spans="1:15" x14ac:dyDescent="0.25">
      <c r="A39" t="s">
        <v>96</v>
      </c>
      <c r="B39" s="2" t="s">
        <v>37</v>
      </c>
      <c r="D39" s="14"/>
      <c r="E39" t="s">
        <v>6</v>
      </c>
      <c r="F39" s="12"/>
      <c r="G39" s="9">
        <v>44178</v>
      </c>
      <c r="H39" s="10">
        <v>14</v>
      </c>
      <c r="I39" s="9"/>
      <c r="J39" s="9"/>
      <c r="K39" s="22">
        <v>10500</v>
      </c>
      <c r="L39" s="28">
        <v>10</v>
      </c>
      <c r="M39" s="22"/>
      <c r="N39" s="24"/>
      <c r="O39" s="7" t="s">
        <v>0</v>
      </c>
    </row>
    <row r="40" spans="1:15" x14ac:dyDescent="0.25">
      <c r="A40" t="s">
        <v>97</v>
      </c>
      <c r="B40" s="2" t="s">
        <v>34</v>
      </c>
      <c r="D40" s="14"/>
      <c r="E40" t="s">
        <v>27</v>
      </c>
      <c r="F40" s="12"/>
      <c r="G40" s="9">
        <v>44218</v>
      </c>
      <c r="H40" s="10">
        <v>29</v>
      </c>
      <c r="I40" s="9"/>
      <c r="J40" s="9"/>
      <c r="K40" s="22">
        <v>9800</v>
      </c>
      <c r="L40" s="28">
        <v>17</v>
      </c>
      <c r="M40" s="22"/>
      <c r="N40" s="24"/>
      <c r="O40" s="7" t="s">
        <v>0</v>
      </c>
    </row>
    <row r="41" spans="1:15" x14ac:dyDescent="0.25">
      <c r="A41" t="s">
        <v>98</v>
      </c>
      <c r="B41" s="2" t="s">
        <v>41</v>
      </c>
      <c r="D41" s="14"/>
      <c r="E41" t="s">
        <v>3</v>
      </c>
      <c r="F41" s="12"/>
      <c r="G41" s="9">
        <v>44167</v>
      </c>
      <c r="H41" s="10">
        <v>22</v>
      </c>
      <c r="I41" s="9"/>
      <c r="J41" s="9"/>
      <c r="K41" s="22">
        <v>14700</v>
      </c>
      <c r="L41" s="28">
        <v>14</v>
      </c>
      <c r="M41" s="22"/>
      <c r="N41" s="24"/>
      <c r="O41" s="7" t="s">
        <v>0</v>
      </c>
    </row>
    <row r="42" spans="1:15" x14ac:dyDescent="0.25">
      <c r="A42" t="s">
        <v>99</v>
      </c>
      <c r="B42" s="2" t="s">
        <v>33</v>
      </c>
      <c r="D42" s="14"/>
      <c r="E42" t="s">
        <v>21</v>
      </c>
      <c r="F42" s="12"/>
      <c r="G42" s="9">
        <v>44380</v>
      </c>
      <c r="H42" s="10">
        <v>17</v>
      </c>
      <c r="I42" s="9"/>
      <c r="J42" s="9"/>
      <c r="K42" s="22">
        <v>13600</v>
      </c>
      <c r="L42" s="28">
        <v>16</v>
      </c>
      <c r="M42" s="22"/>
      <c r="N42" s="24"/>
      <c r="O42" s="7" t="s">
        <v>0</v>
      </c>
    </row>
    <row r="43" spans="1:15" x14ac:dyDescent="0.25">
      <c r="A43" t="s">
        <v>100</v>
      </c>
      <c r="B43" s="2" t="s">
        <v>34</v>
      </c>
      <c r="D43" s="14"/>
      <c r="E43" t="s">
        <v>6</v>
      </c>
      <c r="F43" s="12"/>
      <c r="G43" s="9">
        <v>44224</v>
      </c>
      <c r="H43" s="10">
        <v>29</v>
      </c>
      <c r="I43" s="9"/>
      <c r="J43" s="9"/>
      <c r="K43" s="22">
        <v>11900</v>
      </c>
      <c r="L43" s="28">
        <v>20</v>
      </c>
      <c r="M43" s="22"/>
      <c r="N43" s="24"/>
      <c r="O43" s="7" t="s">
        <v>0</v>
      </c>
    </row>
    <row r="44" spans="1:15" x14ac:dyDescent="0.25">
      <c r="A44" t="s">
        <v>101</v>
      </c>
      <c r="B44" s="2" t="s">
        <v>34</v>
      </c>
      <c r="D44" s="14"/>
      <c r="E44" t="s">
        <v>18</v>
      </c>
      <c r="F44" s="12"/>
      <c r="G44" s="9">
        <v>44694</v>
      </c>
      <c r="H44" s="10">
        <v>20</v>
      </c>
      <c r="I44" s="9"/>
      <c r="J44" s="9"/>
      <c r="K44" s="22">
        <v>9500</v>
      </c>
      <c r="L44" s="28">
        <v>17</v>
      </c>
      <c r="M44" s="22"/>
      <c r="N44" s="24"/>
      <c r="O44" s="7" t="s">
        <v>1</v>
      </c>
    </row>
    <row r="45" spans="1:15" x14ac:dyDescent="0.25">
      <c r="A45" t="s">
        <v>102</v>
      </c>
      <c r="B45" s="2" t="s">
        <v>38</v>
      </c>
      <c r="D45" s="14"/>
      <c r="E45" t="s">
        <v>26</v>
      </c>
      <c r="F45" s="12"/>
      <c r="G45" s="9">
        <v>44135</v>
      </c>
      <c r="H45" s="10">
        <v>17</v>
      </c>
      <c r="I45" s="9"/>
      <c r="J45" s="9"/>
      <c r="K45" s="22">
        <v>10600</v>
      </c>
      <c r="L45" s="28">
        <v>10</v>
      </c>
      <c r="M45" s="22"/>
      <c r="N45" s="24"/>
      <c r="O45" s="7" t="s">
        <v>0</v>
      </c>
    </row>
    <row r="46" spans="1:15" x14ac:dyDescent="0.25">
      <c r="A46" t="s">
        <v>103</v>
      </c>
      <c r="B46" s="2" t="s">
        <v>43</v>
      </c>
      <c r="D46" s="14"/>
      <c r="E46" t="s">
        <v>16</v>
      </c>
      <c r="F46" s="12"/>
      <c r="G46" s="9">
        <v>44722</v>
      </c>
      <c r="H46" s="10">
        <v>6</v>
      </c>
      <c r="I46" s="9"/>
      <c r="J46" s="9"/>
      <c r="K46" s="22">
        <v>13800</v>
      </c>
      <c r="L46" s="28">
        <v>17</v>
      </c>
      <c r="M46" s="22"/>
      <c r="N46" s="24"/>
      <c r="O46" s="7" t="s">
        <v>0</v>
      </c>
    </row>
    <row r="47" spans="1:15" x14ac:dyDescent="0.25">
      <c r="A47" t="s">
        <v>104</v>
      </c>
      <c r="B47" s="2" t="s">
        <v>36</v>
      </c>
      <c r="D47" s="14"/>
      <c r="E47" t="s">
        <v>16</v>
      </c>
      <c r="F47" s="12"/>
      <c r="G47" s="9">
        <v>44609</v>
      </c>
      <c r="H47" s="10">
        <v>17</v>
      </c>
      <c r="I47" s="9"/>
      <c r="J47" s="9"/>
      <c r="K47" s="22">
        <v>10800</v>
      </c>
      <c r="L47" s="28">
        <v>14</v>
      </c>
      <c r="M47" s="22"/>
      <c r="N47" s="24"/>
      <c r="O47" s="7" t="s">
        <v>0</v>
      </c>
    </row>
    <row r="48" spans="1:15" x14ac:dyDescent="0.25">
      <c r="A48" t="s">
        <v>105</v>
      </c>
      <c r="B48" s="2" t="s">
        <v>41</v>
      </c>
      <c r="D48" s="14"/>
      <c r="E48" t="s">
        <v>20</v>
      </c>
      <c r="F48" s="12"/>
      <c r="G48" s="9">
        <v>44717</v>
      </c>
      <c r="H48" s="10">
        <v>28</v>
      </c>
      <c r="I48" s="9"/>
      <c r="J48" s="9"/>
      <c r="K48" s="22">
        <v>9700</v>
      </c>
      <c r="L48" s="28">
        <v>16</v>
      </c>
      <c r="M48" s="22"/>
      <c r="N48" s="24"/>
      <c r="O48" s="7" t="s">
        <v>1</v>
      </c>
    </row>
    <row r="49" spans="1:15" x14ac:dyDescent="0.25">
      <c r="A49" t="s">
        <v>106</v>
      </c>
      <c r="B49" s="2" t="s">
        <v>43</v>
      </c>
      <c r="D49" s="14"/>
      <c r="E49" t="s">
        <v>10</v>
      </c>
      <c r="F49" s="12"/>
      <c r="G49" s="9">
        <v>44274</v>
      </c>
      <c r="H49" s="10">
        <v>12</v>
      </c>
      <c r="I49" s="9"/>
      <c r="J49" s="9"/>
      <c r="K49" s="22">
        <v>8300</v>
      </c>
      <c r="L49" s="28">
        <v>11</v>
      </c>
      <c r="M49" s="22"/>
      <c r="N49" s="24"/>
      <c r="O49" s="7" t="s">
        <v>0</v>
      </c>
    </row>
    <row r="50" spans="1:15" x14ac:dyDescent="0.25">
      <c r="A50" t="s">
        <v>107</v>
      </c>
      <c r="B50" s="2" t="s">
        <v>41</v>
      </c>
      <c r="D50" s="14"/>
      <c r="E50" t="s">
        <v>14</v>
      </c>
      <c r="F50" s="12"/>
      <c r="G50" s="9">
        <v>44570</v>
      </c>
      <c r="H50" s="10">
        <v>10</v>
      </c>
      <c r="I50" s="9"/>
      <c r="J50" s="9"/>
      <c r="K50" s="22">
        <v>12300</v>
      </c>
      <c r="L50" s="28">
        <v>15</v>
      </c>
      <c r="M50" s="22"/>
      <c r="N50" s="24"/>
      <c r="O50" s="7" t="s">
        <v>0</v>
      </c>
    </row>
    <row r="51" spans="1:15" x14ac:dyDescent="0.25">
      <c r="A51" t="s">
        <v>108</v>
      </c>
      <c r="B51" s="2" t="s">
        <v>39</v>
      </c>
      <c r="D51" s="14"/>
      <c r="E51" t="s">
        <v>11</v>
      </c>
      <c r="F51" s="12"/>
      <c r="G51" s="9">
        <v>44067</v>
      </c>
      <c r="H51" s="10">
        <v>9</v>
      </c>
      <c r="I51" s="9"/>
      <c r="J51" s="9"/>
      <c r="K51" s="23">
        <v>11500</v>
      </c>
      <c r="L51" s="28">
        <v>12</v>
      </c>
      <c r="M51" s="22"/>
      <c r="N51" s="24"/>
      <c r="O51" s="8" t="s">
        <v>0</v>
      </c>
    </row>
    <row r="52" spans="1:15" x14ac:dyDescent="0.25">
      <c r="K52" s="1"/>
      <c r="L52" s="4"/>
      <c r="M52" s="4"/>
      <c r="N52" s="4"/>
    </row>
    <row r="53" spans="1:15" x14ac:dyDescent="0.25">
      <c r="K53" s="1"/>
      <c r="L53" s="4"/>
      <c r="M53" s="4"/>
      <c r="N53" s="4"/>
    </row>
    <row r="54" spans="1:15" x14ac:dyDescent="0.25">
      <c r="K54" s="1"/>
      <c r="L54" s="4"/>
      <c r="M54" s="4"/>
      <c r="N54" s="4"/>
    </row>
    <row r="55" spans="1:15" x14ac:dyDescent="0.25">
      <c r="K55" s="1"/>
      <c r="L55" s="4"/>
      <c r="M55" s="4"/>
      <c r="N55" s="4"/>
    </row>
    <row r="56" spans="1:15" x14ac:dyDescent="0.25">
      <c r="K56" s="1"/>
      <c r="L56" s="4"/>
      <c r="M56" s="4"/>
      <c r="N56" s="4"/>
    </row>
    <row r="57" spans="1:15" x14ac:dyDescent="0.25">
      <c r="K57" s="1"/>
      <c r="L57" s="4"/>
      <c r="M57" s="4"/>
      <c r="N57" s="4"/>
    </row>
    <row r="58" spans="1:15" x14ac:dyDescent="0.25">
      <c r="K58" s="1"/>
      <c r="L58" s="4"/>
      <c r="M58" s="4"/>
      <c r="N58" s="4"/>
    </row>
    <row r="59" spans="1:15" x14ac:dyDescent="0.25">
      <c r="K59" s="1"/>
      <c r="L59" s="4"/>
      <c r="M59" s="4"/>
      <c r="N59" s="4"/>
    </row>
    <row r="60" spans="1:15" x14ac:dyDescent="0.25">
      <c r="K60" s="1"/>
      <c r="L60" s="4"/>
      <c r="M60" s="4"/>
      <c r="N60" s="4"/>
    </row>
    <row r="61" spans="1:15" x14ac:dyDescent="0.25">
      <c r="K61" s="1"/>
      <c r="L61" s="4"/>
      <c r="M61" s="4"/>
      <c r="N61" s="4"/>
    </row>
    <row r="62" spans="1:15" x14ac:dyDescent="0.25">
      <c r="K62" s="1"/>
      <c r="L62" s="4"/>
      <c r="M62" s="4"/>
      <c r="N62" s="4"/>
    </row>
    <row r="63" spans="1:15" x14ac:dyDescent="0.25">
      <c r="K63" s="1"/>
      <c r="L63" s="4"/>
      <c r="M63" s="4"/>
      <c r="N63" s="4"/>
    </row>
    <row r="64" spans="1:15" x14ac:dyDescent="0.25">
      <c r="K64" s="1"/>
      <c r="L64" s="4"/>
      <c r="M64" s="4"/>
      <c r="N64" s="4"/>
    </row>
    <row r="65" spans="11:14" x14ac:dyDescent="0.25">
      <c r="K65" s="1"/>
      <c r="L65" s="4"/>
      <c r="M65" s="4"/>
      <c r="N65" s="4"/>
    </row>
    <row r="66" spans="11:14" x14ac:dyDescent="0.25">
      <c r="K66" s="1"/>
      <c r="L66" s="4"/>
      <c r="M66" s="4"/>
      <c r="N66" s="4"/>
    </row>
    <row r="67" spans="11:14" x14ac:dyDescent="0.25">
      <c r="K67" s="1"/>
      <c r="L67" s="4"/>
      <c r="M67" s="4"/>
      <c r="N67" s="4"/>
    </row>
    <row r="68" spans="11:14" x14ac:dyDescent="0.25">
      <c r="K68" s="1"/>
      <c r="L68" s="4"/>
      <c r="M68" s="4"/>
      <c r="N68" s="4"/>
    </row>
    <row r="69" spans="11:14" x14ac:dyDescent="0.25">
      <c r="K69" s="1"/>
      <c r="L69" s="4"/>
      <c r="M69" s="4"/>
      <c r="N69" s="4"/>
    </row>
    <row r="70" spans="11:14" x14ac:dyDescent="0.25">
      <c r="K70" s="1"/>
      <c r="L70" s="4"/>
      <c r="M70" s="4"/>
      <c r="N70" s="4"/>
    </row>
    <row r="71" spans="11:14" x14ac:dyDescent="0.25">
      <c r="K71" s="1"/>
      <c r="L71" s="4"/>
      <c r="M71" s="4"/>
      <c r="N71" s="4"/>
    </row>
    <row r="72" spans="11:14" x14ac:dyDescent="0.25">
      <c r="K72" s="1"/>
      <c r="L72" s="4"/>
      <c r="M72" s="4"/>
      <c r="N72" s="4"/>
    </row>
    <row r="73" spans="11:14" x14ac:dyDescent="0.25">
      <c r="K73" s="1"/>
      <c r="L73" s="4"/>
      <c r="M73" s="4"/>
      <c r="N73" s="4"/>
    </row>
    <row r="74" spans="11:14" x14ac:dyDescent="0.25">
      <c r="K74" s="1"/>
      <c r="L74" s="4"/>
      <c r="M74" s="4"/>
      <c r="N74" s="4"/>
    </row>
    <row r="75" spans="11:14" x14ac:dyDescent="0.25">
      <c r="K75" s="1"/>
      <c r="L75" s="4"/>
      <c r="M75" s="4"/>
      <c r="N75" s="4"/>
    </row>
    <row r="76" spans="11:14" x14ac:dyDescent="0.25">
      <c r="K76" s="1"/>
      <c r="L76" s="4"/>
      <c r="M76" s="4"/>
      <c r="N76" s="4"/>
    </row>
    <row r="77" spans="11:14" x14ac:dyDescent="0.25">
      <c r="K77" s="1"/>
      <c r="L77" s="4"/>
      <c r="M77" s="4"/>
      <c r="N77" s="4"/>
    </row>
    <row r="78" spans="11:14" x14ac:dyDescent="0.25">
      <c r="K78" s="1"/>
      <c r="L78" s="4"/>
      <c r="M78" s="4"/>
      <c r="N78" s="4"/>
    </row>
    <row r="79" spans="11:14" x14ac:dyDescent="0.25">
      <c r="K79" s="1"/>
      <c r="L79" s="4"/>
      <c r="M79" s="4"/>
      <c r="N79" s="4"/>
    </row>
    <row r="80" spans="11:14" x14ac:dyDescent="0.25">
      <c r="K80" s="1"/>
      <c r="L80" s="4"/>
      <c r="M80" s="4"/>
      <c r="N80" s="4"/>
    </row>
    <row r="81" spans="11:14" x14ac:dyDescent="0.25">
      <c r="K81" s="1"/>
      <c r="L81" s="4"/>
      <c r="M81" s="4"/>
      <c r="N81" s="4"/>
    </row>
    <row r="82" spans="11:14" x14ac:dyDescent="0.25">
      <c r="K82" s="1"/>
      <c r="L82" s="4"/>
      <c r="M82" s="4"/>
      <c r="N82" s="4"/>
    </row>
    <row r="83" spans="11:14" x14ac:dyDescent="0.25">
      <c r="K83" s="1"/>
      <c r="L83" s="4"/>
      <c r="M83" s="4"/>
      <c r="N83" s="4"/>
    </row>
    <row r="84" spans="11:14" x14ac:dyDescent="0.25">
      <c r="K84" s="1"/>
      <c r="L84" s="4"/>
      <c r="M84" s="4"/>
      <c r="N84" s="4"/>
    </row>
    <row r="85" spans="11:14" x14ac:dyDescent="0.25">
      <c r="K85" s="1"/>
      <c r="L85" s="4"/>
      <c r="M85" s="4"/>
      <c r="N85" s="4"/>
    </row>
    <row r="86" spans="11:14" x14ac:dyDescent="0.25">
      <c r="K86" s="1"/>
      <c r="L86" s="4"/>
      <c r="M86" s="4"/>
      <c r="N86" s="4"/>
    </row>
    <row r="87" spans="11:14" x14ac:dyDescent="0.25">
      <c r="K87" s="1"/>
      <c r="L87" s="4"/>
      <c r="M87" s="4"/>
      <c r="N87" s="4"/>
    </row>
    <row r="88" spans="11:14" x14ac:dyDescent="0.25">
      <c r="K88" s="1"/>
      <c r="L88" s="4"/>
      <c r="M88" s="4"/>
      <c r="N88" s="4"/>
    </row>
    <row r="89" spans="11:14" x14ac:dyDescent="0.25">
      <c r="K89" s="1"/>
      <c r="L89" s="4"/>
      <c r="M89" s="4"/>
      <c r="N89" s="4"/>
    </row>
    <row r="90" spans="11:14" x14ac:dyDescent="0.25">
      <c r="K90" s="1"/>
      <c r="L90" s="4"/>
      <c r="M90" s="4"/>
      <c r="N90" s="4"/>
    </row>
    <row r="91" spans="11:14" x14ac:dyDescent="0.25">
      <c r="K91" s="1"/>
      <c r="L91" s="4"/>
      <c r="M91" s="4"/>
      <c r="N91" s="4"/>
    </row>
    <row r="92" spans="11:14" x14ac:dyDescent="0.25">
      <c r="K92" s="1"/>
      <c r="L92" s="4"/>
      <c r="M92" s="4"/>
      <c r="N92" s="4"/>
    </row>
    <row r="93" spans="11:14" x14ac:dyDescent="0.25">
      <c r="K93" s="1"/>
      <c r="L93" s="4"/>
      <c r="M93" s="4"/>
      <c r="N93" s="4"/>
    </row>
    <row r="94" spans="11:14" x14ac:dyDescent="0.25">
      <c r="K94" s="1"/>
      <c r="L94" s="4"/>
      <c r="M94" s="4"/>
      <c r="N94" s="4"/>
    </row>
    <row r="95" spans="11:14" x14ac:dyDescent="0.25">
      <c r="K95" s="1"/>
      <c r="L95" s="4"/>
      <c r="M95" s="4"/>
      <c r="N95" s="4"/>
    </row>
    <row r="96" spans="11:14" x14ac:dyDescent="0.25">
      <c r="K96" s="1"/>
      <c r="L96" s="4"/>
      <c r="M96" s="4"/>
      <c r="N96" s="4"/>
    </row>
    <row r="97" spans="11:14" x14ac:dyDescent="0.25">
      <c r="K97" s="1"/>
      <c r="L97" s="4"/>
      <c r="M97" s="4"/>
      <c r="N97" s="4"/>
    </row>
    <row r="98" spans="11:14" x14ac:dyDescent="0.25">
      <c r="K98" s="1"/>
      <c r="L98" s="4"/>
      <c r="M98" s="4"/>
      <c r="N98" s="4"/>
    </row>
    <row r="99" spans="11:14" x14ac:dyDescent="0.25">
      <c r="K99" s="1"/>
      <c r="L99" s="4"/>
      <c r="M99" s="4"/>
      <c r="N99" s="4"/>
    </row>
    <row r="100" spans="11:14" x14ac:dyDescent="0.25">
      <c r="K100" s="1"/>
      <c r="L100" s="4"/>
      <c r="M100" s="4"/>
      <c r="N100" s="4"/>
    </row>
    <row r="101" spans="11:14" x14ac:dyDescent="0.25">
      <c r="K101" s="1"/>
      <c r="L101" s="4"/>
      <c r="M101" s="4"/>
      <c r="N10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634F-F4AC-47A1-83D6-C40308BA68A1}">
  <dimension ref="A1:Y101"/>
  <sheetViews>
    <sheetView topLeftCell="B1" workbookViewId="0">
      <selection activeCell="T35" sqref="T35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4.7109375" customWidth="1"/>
    <col min="4" max="4" width="21.85546875" style="3" bestFit="1" customWidth="1"/>
    <col min="5" max="5" width="13.7109375" bestFit="1" customWidth="1"/>
    <col min="6" max="6" width="8" customWidth="1"/>
    <col min="7" max="7" width="14.28515625" customWidth="1"/>
    <col min="8" max="8" width="11.140625" customWidth="1"/>
    <col min="9" max="10" width="14.28515625" customWidth="1"/>
    <col min="11" max="11" width="12.28515625" customWidth="1"/>
    <col min="12" max="13" width="13.28515625" style="3" customWidth="1"/>
    <col min="14" max="14" width="15.42578125" style="3" customWidth="1"/>
    <col min="15" max="15" width="11.7109375" customWidth="1"/>
    <col min="17" max="17" width="11.28515625" customWidth="1"/>
    <col min="18" max="18" width="2.28515625" customWidth="1"/>
    <col min="19" max="19" width="11.7109375" bestFit="1" customWidth="1"/>
    <col min="20" max="20" width="14.7109375" customWidth="1"/>
    <col min="21" max="21" width="2.28515625" customWidth="1"/>
    <col min="22" max="22" width="18.140625" customWidth="1"/>
    <col min="23" max="23" width="17.85546875" customWidth="1"/>
  </cols>
  <sheetData>
    <row r="1" spans="1:25" s="5" customFormat="1" ht="45" x14ac:dyDescent="0.25">
      <c r="A1" s="19" t="s">
        <v>134</v>
      </c>
      <c r="B1" s="20" t="s">
        <v>31</v>
      </c>
      <c r="C1" s="20" t="s">
        <v>116</v>
      </c>
      <c r="D1" s="20" t="s">
        <v>113</v>
      </c>
      <c r="E1" s="20" t="s">
        <v>30</v>
      </c>
      <c r="F1" s="20" t="s">
        <v>110</v>
      </c>
      <c r="G1" s="20" t="s">
        <v>109</v>
      </c>
      <c r="H1" s="20" t="s">
        <v>112</v>
      </c>
      <c r="I1" s="20" t="s">
        <v>111</v>
      </c>
      <c r="J1" s="20" t="s">
        <v>115</v>
      </c>
      <c r="K1" s="20" t="s">
        <v>136</v>
      </c>
      <c r="L1" s="20" t="s">
        <v>137</v>
      </c>
      <c r="M1" s="20" t="s">
        <v>138</v>
      </c>
      <c r="N1" s="20" t="s">
        <v>139</v>
      </c>
      <c r="O1" s="21" t="s">
        <v>2</v>
      </c>
      <c r="Q1" s="16" t="s">
        <v>49</v>
      </c>
      <c r="R1" s="13"/>
      <c r="S1" s="27" t="s">
        <v>31</v>
      </c>
      <c r="T1" s="25" t="s">
        <v>116</v>
      </c>
      <c r="U1" s="13"/>
      <c r="V1" s="13" t="s">
        <v>30</v>
      </c>
      <c r="W1" s="13" t="s">
        <v>114</v>
      </c>
      <c r="X1"/>
      <c r="Y1"/>
    </row>
    <row r="2" spans="1:25" x14ac:dyDescent="0.25">
      <c r="A2" t="s">
        <v>59</v>
      </c>
      <c r="B2" s="2" t="s">
        <v>35</v>
      </c>
      <c r="C2" t="str">
        <f>INDEX(Típusok[],MATCH(Rendelések[[#This Row],[Típus]],Típusok[Típus],0),2)</f>
        <v>CT-102</v>
      </c>
      <c r="D2" s="14" t="str">
        <f>INDEX(Országok[],MATCH(Rendelések[[#This Row],[Célország]],Országok[Célország],0),2)</f>
        <v>Yetta Ferrell</v>
      </c>
      <c r="E2" t="s">
        <v>25</v>
      </c>
      <c r="F2" s="11" t="str">
        <f>IF(Rendelések[[#This Row],[Max. várakozási idő]]&lt;10,"!","")</f>
        <v/>
      </c>
      <c r="G2" s="9">
        <v>44499</v>
      </c>
      <c r="H2" s="10">
        <v>16</v>
      </c>
      <c r="I2" s="9">
        <f>Rendelések[[#This Row],[Rendelés dátuma]]+minimum</f>
        <v>44504</v>
      </c>
      <c r="J2" s="9">
        <f>Rendelések[[#This Row],[Rendelés dátuma]]+Rendelések[[#This Row],[Max. várakozási idő]]</f>
        <v>44515</v>
      </c>
      <c r="K2" s="22">
        <v>13100</v>
      </c>
      <c r="L2" s="28">
        <v>10</v>
      </c>
      <c r="M2" s="22">
        <f>Rendelések[[#This Row],[Egységár (euró)]]*Rendelések[[#This Row],[Rendelt mennyiség]]</f>
        <v>131000</v>
      </c>
      <c r="N2" s="24">
        <f>Rendelések[[#This Row],[Fizetendő (euró)]]*$Q$2</f>
        <v>47160000</v>
      </c>
      <c r="O2" s="7" t="s">
        <v>0</v>
      </c>
      <c r="Q2" s="18">
        <v>360</v>
      </c>
      <c r="R2" s="1"/>
      <c r="S2" s="6" t="s">
        <v>34</v>
      </c>
      <c r="T2" s="26" t="s">
        <v>117</v>
      </c>
      <c r="U2" s="1"/>
      <c r="V2" s="6" t="s">
        <v>3</v>
      </c>
      <c r="W2" s="6" t="s">
        <v>55</v>
      </c>
    </row>
    <row r="3" spans="1:25" x14ac:dyDescent="0.25">
      <c r="A3" t="s">
        <v>60</v>
      </c>
      <c r="B3" s="2" t="s">
        <v>40</v>
      </c>
      <c r="C3" t="str">
        <f>INDEX(Típusok[],MATCH(Rendelések[[#This Row],[Típus]],Típusok[Típus],0),2)</f>
        <v>CT-107</v>
      </c>
      <c r="D3" s="14" t="str">
        <f>INDEX(Országok[],MATCH(Rendelések[[#This Row],[Célország]],Országok[Célország],0),2)</f>
        <v>Brent Brennan</v>
      </c>
      <c r="E3" t="s">
        <v>7</v>
      </c>
      <c r="F3" s="12" t="str">
        <f>IF(Rendelések[[#This Row],[Max. várakozási idő]]&lt;10,"!","")</f>
        <v/>
      </c>
      <c r="G3" s="9">
        <v>44112</v>
      </c>
      <c r="H3" s="10">
        <v>15</v>
      </c>
      <c r="I3" s="9">
        <f>Rendelések[[#This Row],[Rendelés dátuma]]+minimum</f>
        <v>44117</v>
      </c>
      <c r="J3" s="9">
        <f>Rendelések[[#This Row],[Rendelés dátuma]]+Rendelések[[#This Row],[Max. várakozási idő]]</f>
        <v>44127</v>
      </c>
      <c r="K3" s="22">
        <v>14300</v>
      </c>
      <c r="L3" s="28">
        <v>14</v>
      </c>
      <c r="M3" s="22">
        <f>Rendelések[[#This Row],[Egységár (euró)]]*Rendelések[[#This Row],[Rendelt mennyiség]]</f>
        <v>200200</v>
      </c>
      <c r="N3" s="24">
        <f>Rendelések[[#This Row],[Fizetendő (euró)]]*$Q$2</f>
        <v>72072000</v>
      </c>
      <c r="O3" s="7" t="s">
        <v>0</v>
      </c>
      <c r="S3" s="6" t="s">
        <v>35</v>
      </c>
      <c r="T3" s="26" t="s">
        <v>118</v>
      </c>
      <c r="V3" s="6" t="s">
        <v>4</v>
      </c>
      <c r="W3" s="6" t="s">
        <v>54</v>
      </c>
    </row>
    <row r="4" spans="1:25" x14ac:dyDescent="0.25">
      <c r="A4" t="s">
        <v>61</v>
      </c>
      <c r="B4" s="2" t="s">
        <v>37</v>
      </c>
      <c r="C4" t="str">
        <f>INDEX(Típusok[],MATCH(Rendelések[[#This Row],[Típus]],Típusok[Típus],0),2)</f>
        <v>CT-110</v>
      </c>
      <c r="D4" s="14" t="str">
        <f>INDEX(Országok[],MATCH(Rendelések[[#This Row],[Célország]],Országok[Célország],0),2)</f>
        <v>Sarah Meyers</v>
      </c>
      <c r="E4" t="s">
        <v>17</v>
      </c>
      <c r="F4" s="12" t="str">
        <f>IF(Rendelések[[#This Row],[Max. várakozási idő]]&lt;10,"!","")</f>
        <v/>
      </c>
      <c r="G4" s="9">
        <v>44604</v>
      </c>
      <c r="H4" s="10">
        <v>20</v>
      </c>
      <c r="I4" s="9">
        <f>Rendelések[[#This Row],[Rendelés dátuma]]+minimum</f>
        <v>44609</v>
      </c>
      <c r="J4" s="9">
        <f>Rendelések[[#This Row],[Rendelés dátuma]]+Rendelések[[#This Row],[Max. várakozási idő]]</f>
        <v>44624</v>
      </c>
      <c r="K4" s="22">
        <v>11900</v>
      </c>
      <c r="L4" s="28">
        <v>16</v>
      </c>
      <c r="M4" s="22">
        <f>Rendelések[[#This Row],[Egységár (euró)]]*Rendelések[[#This Row],[Rendelt mennyiség]]</f>
        <v>190400</v>
      </c>
      <c r="N4" s="24">
        <f>Rendelések[[#This Row],[Fizetendő (euró)]]*$Q$2</f>
        <v>68544000</v>
      </c>
      <c r="O4" s="7" t="s">
        <v>1</v>
      </c>
      <c r="Q4" s="29" t="s">
        <v>135</v>
      </c>
      <c r="R4" s="17"/>
      <c r="S4" s="6" t="s">
        <v>43</v>
      </c>
      <c r="T4" s="26" t="s">
        <v>119</v>
      </c>
      <c r="U4" s="17"/>
      <c r="V4" s="6" t="s">
        <v>5</v>
      </c>
      <c r="W4" s="6" t="s">
        <v>50</v>
      </c>
    </row>
    <row r="5" spans="1:25" x14ac:dyDescent="0.25">
      <c r="A5" t="s">
        <v>62</v>
      </c>
      <c r="B5" s="2" t="s">
        <v>38</v>
      </c>
      <c r="C5" t="str">
        <f>INDEX(Típusok[],MATCH(Rendelések[[#This Row],[Típus]],Típusok[Típus],0),2)</f>
        <v>CT-104</v>
      </c>
      <c r="D5" s="14" t="str">
        <f>INDEX(Országok[],MATCH(Rendelések[[#This Row],[Célország]],Országok[Célország],0),2)</f>
        <v>Brent Brennan</v>
      </c>
      <c r="E5" t="s">
        <v>20</v>
      </c>
      <c r="F5" s="12" t="str">
        <f>IF(Rendelések[[#This Row],[Max. várakozási idő]]&lt;10,"!","")</f>
        <v/>
      </c>
      <c r="G5" s="9">
        <v>44751</v>
      </c>
      <c r="H5" s="10">
        <v>15</v>
      </c>
      <c r="I5" s="9">
        <f>Rendelések[[#This Row],[Rendelés dátuma]]+minimum</f>
        <v>44756</v>
      </c>
      <c r="J5" s="9">
        <f>Rendelések[[#This Row],[Rendelés dátuma]]+Rendelések[[#This Row],[Max. várakozási idő]]</f>
        <v>44766</v>
      </c>
      <c r="K5" s="22">
        <v>10100</v>
      </c>
      <c r="L5" s="28">
        <v>15</v>
      </c>
      <c r="M5" s="22">
        <f>Rendelések[[#This Row],[Egységár (euró)]]*Rendelések[[#This Row],[Rendelt mennyiség]]</f>
        <v>151500</v>
      </c>
      <c r="N5" s="24">
        <f>Rendelések[[#This Row],[Fizetendő (euró)]]*$Q$2</f>
        <v>54540000</v>
      </c>
      <c r="O5" s="7" t="s">
        <v>0</v>
      </c>
      <c r="Q5" s="30">
        <v>5</v>
      </c>
      <c r="R5" s="15"/>
      <c r="S5" s="6" t="s">
        <v>38</v>
      </c>
      <c r="T5" s="26" t="s">
        <v>120</v>
      </c>
      <c r="U5" s="15"/>
      <c r="V5" s="6" t="s">
        <v>6</v>
      </c>
      <c r="W5" s="6" t="s">
        <v>56</v>
      </c>
    </row>
    <row r="6" spans="1:25" x14ac:dyDescent="0.25">
      <c r="A6" t="s">
        <v>63</v>
      </c>
      <c r="B6" s="2" t="s">
        <v>33</v>
      </c>
      <c r="C6" t="str">
        <f>INDEX(Típusok[],MATCH(Rendelések[[#This Row],[Típus]],Típusok[Típus],0),2)</f>
        <v>CT-108</v>
      </c>
      <c r="D6" s="14" t="str">
        <f>INDEX(Országok[],MATCH(Rendelések[[#This Row],[Célország]],Országok[Célország],0),2)</f>
        <v>Brent Brennan</v>
      </c>
      <c r="E6" t="s">
        <v>20</v>
      </c>
      <c r="F6" s="12" t="str">
        <f>IF(Rendelések[[#This Row],[Max. várakozási idő]]&lt;10,"!","")</f>
        <v>!</v>
      </c>
      <c r="G6" s="9">
        <v>44657</v>
      </c>
      <c r="H6" s="10">
        <v>9</v>
      </c>
      <c r="I6" s="9">
        <f>Rendelések[[#This Row],[Rendelés dátuma]]+minimum</f>
        <v>44662</v>
      </c>
      <c r="J6" s="9">
        <f>Rendelések[[#This Row],[Rendelés dátuma]]+Rendelések[[#This Row],[Max. várakozási idő]]</f>
        <v>44666</v>
      </c>
      <c r="K6" s="22">
        <v>13600</v>
      </c>
      <c r="L6" s="28">
        <v>15</v>
      </c>
      <c r="M6" s="22">
        <f>Rendelések[[#This Row],[Egységár (euró)]]*Rendelések[[#This Row],[Rendelt mennyiség]]</f>
        <v>204000</v>
      </c>
      <c r="N6" s="24">
        <f>Rendelések[[#This Row],[Fizetendő (euró)]]*$Q$2</f>
        <v>73440000</v>
      </c>
      <c r="O6" s="7" t="s">
        <v>1</v>
      </c>
      <c r="S6" s="6" t="s">
        <v>47</v>
      </c>
      <c r="T6" s="26" t="s">
        <v>121</v>
      </c>
      <c r="V6" s="6" t="s">
        <v>7</v>
      </c>
      <c r="W6" s="6" t="s">
        <v>58</v>
      </c>
    </row>
    <row r="7" spans="1:25" x14ac:dyDescent="0.25">
      <c r="A7" t="s">
        <v>64</v>
      </c>
      <c r="B7" s="2" t="s">
        <v>38</v>
      </c>
      <c r="C7" t="str">
        <f>INDEX(Típusok[],MATCH(Rendelések[[#This Row],[Típus]],Típusok[Típus],0),2)</f>
        <v>CT-104</v>
      </c>
      <c r="D7" s="14" t="str">
        <f>INDEX(Országok[],MATCH(Rendelések[[#This Row],[Célország]],Országok[Célország],0),2)</f>
        <v>Colton Suarez</v>
      </c>
      <c r="E7" t="s">
        <v>26</v>
      </c>
      <c r="F7" s="12" t="str">
        <f>IF(Rendelések[[#This Row],[Max. várakozási idő]]&lt;10,"!","")</f>
        <v/>
      </c>
      <c r="G7" s="9">
        <v>44106</v>
      </c>
      <c r="H7" s="10">
        <v>21</v>
      </c>
      <c r="I7" s="9">
        <f>Rendelések[[#This Row],[Rendelés dátuma]]+minimum</f>
        <v>44111</v>
      </c>
      <c r="J7" s="9">
        <f>Rendelések[[#This Row],[Rendelés dátuma]]+Rendelések[[#This Row],[Max. várakozási idő]]</f>
        <v>44127</v>
      </c>
      <c r="K7" s="22">
        <v>9400</v>
      </c>
      <c r="L7" s="28">
        <v>10</v>
      </c>
      <c r="M7" s="22">
        <f>Rendelések[[#This Row],[Egységár (euró)]]*Rendelések[[#This Row],[Rendelt mennyiség]]</f>
        <v>94000</v>
      </c>
      <c r="N7" s="24">
        <f>Rendelések[[#This Row],[Fizetendő (euró)]]*$Q$2</f>
        <v>33840000</v>
      </c>
      <c r="O7" s="7" t="s">
        <v>1</v>
      </c>
      <c r="S7" s="6" t="s">
        <v>44</v>
      </c>
      <c r="T7" s="26" t="s">
        <v>122</v>
      </c>
      <c r="V7" s="6" t="s">
        <v>8</v>
      </c>
      <c r="W7" s="6" t="s">
        <v>53</v>
      </c>
    </row>
    <row r="8" spans="1:25" x14ac:dyDescent="0.25">
      <c r="A8" t="s">
        <v>65</v>
      </c>
      <c r="B8" s="2" t="s">
        <v>37</v>
      </c>
      <c r="C8" t="str">
        <f>INDEX(Típusok[],MATCH(Rendelések[[#This Row],[Típus]],Típusok[Típus],0),2)</f>
        <v>CT-110</v>
      </c>
      <c r="D8" s="14" t="str">
        <f>INDEX(Országok[],MATCH(Rendelések[[#This Row],[Célország]],Országok[Célország],0),2)</f>
        <v>Kelly Cook</v>
      </c>
      <c r="E8" t="s">
        <v>19</v>
      </c>
      <c r="F8" s="12" t="str">
        <f>IF(Rendelések[[#This Row],[Max. várakozási idő]]&lt;10,"!","")</f>
        <v/>
      </c>
      <c r="G8" s="9">
        <v>44359</v>
      </c>
      <c r="H8" s="10">
        <v>19</v>
      </c>
      <c r="I8" s="9">
        <f>Rendelések[[#This Row],[Rendelés dátuma]]+minimum</f>
        <v>44364</v>
      </c>
      <c r="J8" s="9">
        <f>Rendelések[[#This Row],[Rendelés dátuma]]+Rendelések[[#This Row],[Max. várakozási idő]]</f>
        <v>44378</v>
      </c>
      <c r="K8" s="22">
        <v>12500</v>
      </c>
      <c r="L8" s="28">
        <v>19</v>
      </c>
      <c r="M8" s="22">
        <f>Rendelések[[#This Row],[Egységár (euró)]]*Rendelések[[#This Row],[Rendelt mennyiség]]</f>
        <v>237500</v>
      </c>
      <c r="N8" s="24">
        <f>Rendelések[[#This Row],[Fizetendő (euró)]]*$Q$2</f>
        <v>85500000</v>
      </c>
      <c r="O8" s="7" t="s">
        <v>1</v>
      </c>
      <c r="S8" s="6" t="s">
        <v>40</v>
      </c>
      <c r="T8" s="26" t="s">
        <v>123</v>
      </c>
      <c r="V8" s="6" t="s">
        <v>9</v>
      </c>
      <c r="W8" s="6" t="s">
        <v>54</v>
      </c>
    </row>
    <row r="9" spans="1:25" x14ac:dyDescent="0.25">
      <c r="A9" t="s">
        <v>66</v>
      </c>
      <c r="B9" s="2" t="s">
        <v>33</v>
      </c>
      <c r="C9" t="str">
        <f>INDEX(Típusok[],MATCH(Rendelések[[#This Row],[Típus]],Típusok[Típus],0),2)</f>
        <v>CT-108</v>
      </c>
      <c r="D9" s="14" t="str">
        <f>INDEX(Országok[],MATCH(Rendelések[[#This Row],[Célország]],Országok[Célország],0),2)</f>
        <v>Malcolm Klein</v>
      </c>
      <c r="E9" t="s">
        <v>3</v>
      </c>
      <c r="F9" s="12" t="str">
        <f>IF(Rendelések[[#This Row],[Max. várakozási idő]]&lt;10,"!","")</f>
        <v/>
      </c>
      <c r="G9" s="9">
        <v>44490</v>
      </c>
      <c r="H9" s="10">
        <v>21</v>
      </c>
      <c r="I9" s="9">
        <f>Rendelések[[#This Row],[Rendelés dátuma]]+minimum</f>
        <v>44495</v>
      </c>
      <c r="J9" s="9">
        <f>Rendelések[[#This Row],[Rendelés dátuma]]+Rendelések[[#This Row],[Max. várakozási idő]]</f>
        <v>44511</v>
      </c>
      <c r="K9" s="22">
        <v>13200</v>
      </c>
      <c r="L9" s="28">
        <v>10</v>
      </c>
      <c r="M9" s="22">
        <f>Rendelések[[#This Row],[Egységár (euró)]]*Rendelések[[#This Row],[Rendelt mennyiség]]</f>
        <v>132000</v>
      </c>
      <c r="N9" s="24">
        <f>Rendelések[[#This Row],[Fizetendő (euró)]]*$Q$2</f>
        <v>47520000</v>
      </c>
      <c r="O9" s="7" t="s">
        <v>1</v>
      </c>
      <c r="S9" s="6" t="s">
        <v>33</v>
      </c>
      <c r="T9" s="26" t="s">
        <v>124</v>
      </c>
      <c r="V9" s="6" t="s">
        <v>10</v>
      </c>
      <c r="W9" s="6" t="s">
        <v>52</v>
      </c>
    </row>
    <row r="10" spans="1:25" x14ac:dyDescent="0.25">
      <c r="A10" t="s">
        <v>67</v>
      </c>
      <c r="B10" s="2" t="s">
        <v>33</v>
      </c>
      <c r="C10" t="str">
        <f>INDEX(Típusok[],MATCH(Rendelések[[#This Row],[Típus]],Típusok[Típus],0),2)</f>
        <v>CT-108</v>
      </c>
      <c r="D10" s="14" t="str">
        <f>INDEX(Országok[],MATCH(Rendelések[[#This Row],[Célország]],Országok[Célország],0),2)</f>
        <v>Brittany Francis</v>
      </c>
      <c r="E10" t="s">
        <v>6</v>
      </c>
      <c r="F10" s="12" t="str">
        <f>IF(Rendelések[[#This Row],[Max. várakozási idő]]&lt;10,"!","")</f>
        <v>!</v>
      </c>
      <c r="G10" s="9">
        <v>44704</v>
      </c>
      <c r="H10" s="10">
        <v>9</v>
      </c>
      <c r="I10" s="9">
        <f>Rendelések[[#This Row],[Rendelés dátuma]]+minimum</f>
        <v>44709</v>
      </c>
      <c r="J10" s="9">
        <f>Rendelések[[#This Row],[Rendelés dátuma]]+Rendelések[[#This Row],[Max. várakozási idő]]</f>
        <v>44713</v>
      </c>
      <c r="K10" s="22">
        <v>9200</v>
      </c>
      <c r="L10" s="28">
        <v>13</v>
      </c>
      <c r="M10" s="22">
        <f>Rendelések[[#This Row],[Egységár (euró)]]*Rendelések[[#This Row],[Rendelt mennyiség]]</f>
        <v>119600</v>
      </c>
      <c r="N10" s="24">
        <f>Rendelések[[#This Row],[Fizetendő (euró)]]*$Q$2</f>
        <v>43056000</v>
      </c>
      <c r="O10" s="7" t="s">
        <v>0</v>
      </c>
      <c r="S10" s="6" t="s">
        <v>45</v>
      </c>
      <c r="T10" s="26" t="s">
        <v>125</v>
      </c>
      <c r="V10" s="6" t="s">
        <v>11</v>
      </c>
      <c r="W10" s="6" t="s">
        <v>52</v>
      </c>
    </row>
    <row r="11" spans="1:25" x14ac:dyDescent="0.25">
      <c r="A11" t="s">
        <v>68</v>
      </c>
      <c r="B11" s="2" t="s">
        <v>32</v>
      </c>
      <c r="C11" t="str">
        <f>INDEX(Típusok[],MATCH(Rendelések[[#This Row],[Típus]],Típusok[Típus],0),2)</f>
        <v>CT-111</v>
      </c>
      <c r="D11" s="14" t="str">
        <f>INDEX(Országok[],MATCH(Rendelések[[#This Row],[Célország]],Országok[Célország],0),2)</f>
        <v>Kelly Cook</v>
      </c>
      <c r="E11" t="s">
        <v>15</v>
      </c>
      <c r="F11" s="12" t="str">
        <f>IF(Rendelések[[#This Row],[Max. várakozási idő]]&lt;10,"!","")</f>
        <v/>
      </c>
      <c r="G11" s="9">
        <v>44201</v>
      </c>
      <c r="H11" s="10">
        <v>26</v>
      </c>
      <c r="I11" s="9">
        <f>Rendelések[[#This Row],[Rendelés dátuma]]+minimum</f>
        <v>44206</v>
      </c>
      <c r="J11" s="9">
        <f>Rendelések[[#This Row],[Rendelés dátuma]]+Rendelések[[#This Row],[Max. várakozási idő]]</f>
        <v>44227</v>
      </c>
      <c r="K11" s="22">
        <v>13300</v>
      </c>
      <c r="L11" s="28">
        <v>18</v>
      </c>
      <c r="M11" s="22">
        <f>Rendelések[[#This Row],[Egységár (euró)]]*Rendelések[[#This Row],[Rendelt mennyiség]]</f>
        <v>239400</v>
      </c>
      <c r="N11" s="24">
        <f>Rendelések[[#This Row],[Fizetendő (euró)]]*$Q$2</f>
        <v>86184000</v>
      </c>
      <c r="O11" s="7" t="s">
        <v>0</v>
      </c>
      <c r="S11" s="6" t="s">
        <v>37</v>
      </c>
      <c r="T11" s="26" t="s">
        <v>126</v>
      </c>
      <c r="V11" s="6" t="s">
        <v>12</v>
      </c>
      <c r="W11" s="6" t="s">
        <v>51</v>
      </c>
    </row>
    <row r="12" spans="1:25" x14ac:dyDescent="0.25">
      <c r="A12" t="s">
        <v>69</v>
      </c>
      <c r="B12" s="2" t="s">
        <v>34</v>
      </c>
      <c r="C12" t="str">
        <f>INDEX(Típusok[],MATCH(Rendelések[[#This Row],[Típus]],Típusok[Típus],0),2)</f>
        <v>CT-101</v>
      </c>
      <c r="D12" s="14" t="str">
        <f>INDEX(Országok[],MATCH(Rendelések[[#This Row],[Célország]],Országok[Célország],0),2)</f>
        <v>Sarah Meyers</v>
      </c>
      <c r="E12" t="s">
        <v>10</v>
      </c>
      <c r="F12" s="12" t="str">
        <f>IF(Rendelések[[#This Row],[Max. várakozási idő]]&lt;10,"!","")</f>
        <v/>
      </c>
      <c r="G12" s="9">
        <v>44690</v>
      </c>
      <c r="H12" s="10">
        <v>25</v>
      </c>
      <c r="I12" s="9">
        <f>Rendelések[[#This Row],[Rendelés dátuma]]+minimum</f>
        <v>44695</v>
      </c>
      <c r="J12" s="9">
        <f>Rendelések[[#This Row],[Rendelés dátuma]]+Rendelések[[#This Row],[Max. várakozási idő]]</f>
        <v>44715</v>
      </c>
      <c r="K12" s="22">
        <v>14700</v>
      </c>
      <c r="L12" s="28">
        <v>11</v>
      </c>
      <c r="M12" s="22">
        <f>Rendelések[[#This Row],[Egységár (euró)]]*Rendelések[[#This Row],[Rendelt mennyiség]]</f>
        <v>161700</v>
      </c>
      <c r="N12" s="24">
        <f>Rendelések[[#This Row],[Fizetendő (euró)]]*$Q$2</f>
        <v>58212000</v>
      </c>
      <c r="O12" s="7" t="s">
        <v>0</v>
      </c>
      <c r="S12" s="6" t="s">
        <v>32</v>
      </c>
      <c r="T12" s="26" t="s">
        <v>127</v>
      </c>
      <c r="V12" s="6" t="s">
        <v>13</v>
      </c>
      <c r="W12" s="6" t="s">
        <v>51</v>
      </c>
    </row>
    <row r="13" spans="1:25" x14ac:dyDescent="0.25">
      <c r="A13" t="s">
        <v>70</v>
      </c>
      <c r="B13" s="2" t="s">
        <v>43</v>
      </c>
      <c r="C13" t="str">
        <f>INDEX(Típusok[],MATCH(Rendelések[[#This Row],[Típus]],Típusok[Típus],0),2)</f>
        <v>CT-103</v>
      </c>
      <c r="D13" s="14" t="str">
        <f>INDEX(Országok[],MATCH(Rendelések[[#This Row],[Célország]],Országok[Célország],0),2)</f>
        <v>Yetta Ferrell</v>
      </c>
      <c r="E13" t="s">
        <v>5</v>
      </c>
      <c r="F13" s="12" t="str">
        <f>IF(Rendelések[[#This Row],[Max. várakozási idő]]&lt;10,"!","")</f>
        <v/>
      </c>
      <c r="G13" s="9">
        <v>44074</v>
      </c>
      <c r="H13" s="10">
        <v>23</v>
      </c>
      <c r="I13" s="9">
        <f>Rendelések[[#This Row],[Rendelés dátuma]]+minimum</f>
        <v>44079</v>
      </c>
      <c r="J13" s="9">
        <f>Rendelések[[#This Row],[Rendelés dátuma]]+Rendelések[[#This Row],[Max. várakozási idő]]</f>
        <v>44097</v>
      </c>
      <c r="K13" s="22">
        <v>12700</v>
      </c>
      <c r="L13" s="28">
        <v>12</v>
      </c>
      <c r="M13" s="22">
        <f>Rendelések[[#This Row],[Egységár (euró)]]*Rendelések[[#This Row],[Rendelt mennyiség]]</f>
        <v>152400</v>
      </c>
      <c r="N13" s="24">
        <f>Rendelések[[#This Row],[Fizetendő (euró)]]*$Q$2</f>
        <v>54864000</v>
      </c>
      <c r="O13" s="7" t="s">
        <v>1</v>
      </c>
      <c r="S13" s="6" t="s">
        <v>48</v>
      </c>
      <c r="T13" s="26" t="s">
        <v>128</v>
      </c>
      <c r="V13" s="6" t="s">
        <v>14</v>
      </c>
      <c r="W13" s="6" t="s">
        <v>54</v>
      </c>
    </row>
    <row r="14" spans="1:25" x14ac:dyDescent="0.25">
      <c r="A14" t="s">
        <v>71</v>
      </c>
      <c r="B14" s="2" t="s">
        <v>32</v>
      </c>
      <c r="C14" t="str">
        <f>INDEX(Típusok[],MATCH(Rendelések[[#This Row],[Típus]],Típusok[Típus],0),2)</f>
        <v>CT-111</v>
      </c>
      <c r="D14" s="14" t="str">
        <f>INDEX(Országok[],MATCH(Rendelések[[#This Row],[Célország]],Országok[Célország],0),2)</f>
        <v>Yetta Ferrell</v>
      </c>
      <c r="E14" t="s">
        <v>25</v>
      </c>
      <c r="F14" s="12" t="str">
        <f>IF(Rendelések[[#This Row],[Max. várakozási idő]]&lt;10,"!","")</f>
        <v/>
      </c>
      <c r="G14" s="9">
        <v>44237</v>
      </c>
      <c r="H14" s="10">
        <v>30</v>
      </c>
      <c r="I14" s="9">
        <f>Rendelések[[#This Row],[Rendelés dátuma]]+minimum</f>
        <v>44242</v>
      </c>
      <c r="J14" s="9">
        <f>Rendelések[[#This Row],[Rendelés dátuma]]+Rendelések[[#This Row],[Max. várakozási idő]]</f>
        <v>44267</v>
      </c>
      <c r="K14" s="22">
        <v>13800</v>
      </c>
      <c r="L14" s="28">
        <v>16</v>
      </c>
      <c r="M14" s="22">
        <f>Rendelések[[#This Row],[Egységár (euró)]]*Rendelések[[#This Row],[Rendelt mennyiség]]</f>
        <v>220800</v>
      </c>
      <c r="N14" s="24">
        <f>Rendelések[[#This Row],[Fizetendő (euró)]]*$Q$2</f>
        <v>79488000</v>
      </c>
      <c r="O14" s="7" t="s">
        <v>0</v>
      </c>
      <c r="S14" s="6" t="s">
        <v>42</v>
      </c>
      <c r="T14" s="26" t="s">
        <v>129</v>
      </c>
      <c r="V14" s="6" t="s">
        <v>15</v>
      </c>
      <c r="W14" s="6" t="s">
        <v>54</v>
      </c>
    </row>
    <row r="15" spans="1:25" x14ac:dyDescent="0.25">
      <c r="A15" t="s">
        <v>72</v>
      </c>
      <c r="B15" s="2" t="s">
        <v>41</v>
      </c>
      <c r="C15" t="str">
        <f>INDEX(Típusok[],MATCH(Rendelések[[#This Row],[Típus]],Típusok[Típus],0),2)</f>
        <v>CT-117</v>
      </c>
      <c r="D15" s="14" t="str">
        <f>INDEX(Országok[],MATCH(Rendelések[[#This Row],[Célország]],Országok[Célország],0),2)</f>
        <v>Sarah Meyers</v>
      </c>
      <c r="E15" t="s">
        <v>11</v>
      </c>
      <c r="F15" s="12" t="str">
        <f>IF(Rendelések[[#This Row],[Max. várakozási idő]]&lt;10,"!","")</f>
        <v/>
      </c>
      <c r="G15" s="9">
        <v>44350</v>
      </c>
      <c r="H15" s="10">
        <v>11</v>
      </c>
      <c r="I15" s="9">
        <f>Rendelések[[#This Row],[Rendelés dátuma]]+minimum</f>
        <v>44355</v>
      </c>
      <c r="J15" s="9">
        <f>Rendelések[[#This Row],[Rendelés dátuma]]+Rendelések[[#This Row],[Max. várakozási idő]]</f>
        <v>44361</v>
      </c>
      <c r="K15" s="22">
        <v>14300</v>
      </c>
      <c r="L15" s="28">
        <v>12</v>
      </c>
      <c r="M15" s="22">
        <f>Rendelések[[#This Row],[Egységár (euró)]]*Rendelések[[#This Row],[Rendelt mennyiség]]</f>
        <v>171600</v>
      </c>
      <c r="N15" s="24">
        <f>Rendelések[[#This Row],[Fizetendő (euró)]]*$Q$2</f>
        <v>61776000</v>
      </c>
      <c r="O15" s="7" t="s">
        <v>1</v>
      </c>
      <c r="S15" s="6" t="s">
        <v>46</v>
      </c>
      <c r="T15" s="26" t="s">
        <v>130</v>
      </c>
      <c r="V15" s="6" t="s">
        <v>16</v>
      </c>
      <c r="W15" s="6" t="s">
        <v>58</v>
      </c>
    </row>
    <row r="16" spans="1:25" x14ac:dyDescent="0.25">
      <c r="A16" t="s">
        <v>73</v>
      </c>
      <c r="B16" s="2" t="s">
        <v>45</v>
      </c>
      <c r="C16" t="str">
        <f>INDEX(Típusok[],MATCH(Rendelések[[#This Row],[Típus]],Típusok[Típus],0),2)</f>
        <v>CT-109</v>
      </c>
      <c r="D16" s="14" t="str">
        <f>INDEX(Országok[],MATCH(Rendelések[[#This Row],[Célország]],Országok[Célország],0),2)</f>
        <v>Sierra Richardson</v>
      </c>
      <c r="E16" t="s">
        <v>23</v>
      </c>
      <c r="F16" s="12" t="str">
        <f>IF(Rendelések[[#This Row],[Max. várakozási idő]]&lt;10,"!","")</f>
        <v/>
      </c>
      <c r="G16" s="9">
        <v>44262</v>
      </c>
      <c r="H16" s="10">
        <v>12</v>
      </c>
      <c r="I16" s="9">
        <f>Rendelések[[#This Row],[Rendelés dátuma]]+minimum</f>
        <v>44267</v>
      </c>
      <c r="J16" s="9">
        <f>Rendelések[[#This Row],[Rendelés dátuma]]+Rendelések[[#This Row],[Max. várakozási idő]]</f>
        <v>44274</v>
      </c>
      <c r="K16" s="22">
        <v>8700</v>
      </c>
      <c r="L16" s="28">
        <v>15</v>
      </c>
      <c r="M16" s="22">
        <f>Rendelések[[#This Row],[Egységár (euró)]]*Rendelések[[#This Row],[Rendelt mennyiség]]</f>
        <v>130500</v>
      </c>
      <c r="N16" s="24">
        <f>Rendelések[[#This Row],[Fizetendő (euró)]]*$Q$2</f>
        <v>46980000</v>
      </c>
      <c r="O16" s="7" t="s">
        <v>1</v>
      </c>
      <c r="S16" s="6" t="s">
        <v>36</v>
      </c>
      <c r="T16" s="26" t="s">
        <v>131</v>
      </c>
      <c r="V16" s="6" t="s">
        <v>17</v>
      </c>
      <c r="W16" s="6" t="s">
        <v>52</v>
      </c>
    </row>
    <row r="17" spans="1:23" x14ac:dyDescent="0.25">
      <c r="A17" t="s">
        <v>74</v>
      </c>
      <c r="B17" s="2" t="s">
        <v>38</v>
      </c>
      <c r="C17" t="str">
        <f>INDEX(Típusok[],MATCH(Rendelések[[#This Row],[Típus]],Típusok[Típus],0),2)</f>
        <v>CT-104</v>
      </c>
      <c r="D17" s="14" t="str">
        <f>INDEX(Országok[],MATCH(Rendelések[[#This Row],[Célország]],Országok[Célország],0),2)</f>
        <v>Sierra Richardson</v>
      </c>
      <c r="E17" t="s">
        <v>13</v>
      </c>
      <c r="F17" s="12" t="str">
        <f>IF(Rendelések[[#This Row],[Max. várakozási idő]]&lt;10,"!","")</f>
        <v/>
      </c>
      <c r="G17" s="9">
        <v>44314</v>
      </c>
      <c r="H17" s="10">
        <v>10</v>
      </c>
      <c r="I17" s="9">
        <f>Rendelések[[#This Row],[Rendelés dátuma]]+minimum</f>
        <v>44319</v>
      </c>
      <c r="J17" s="9">
        <f>Rendelések[[#This Row],[Rendelés dátuma]]+Rendelések[[#This Row],[Max. várakozási idő]]</f>
        <v>44324</v>
      </c>
      <c r="K17" s="22">
        <v>11800</v>
      </c>
      <c r="L17" s="28">
        <v>12</v>
      </c>
      <c r="M17" s="22">
        <f>Rendelések[[#This Row],[Egységár (euró)]]*Rendelések[[#This Row],[Rendelt mennyiség]]</f>
        <v>141600</v>
      </c>
      <c r="N17" s="24">
        <f>Rendelések[[#This Row],[Fizetendő (euró)]]*$Q$2</f>
        <v>50976000</v>
      </c>
      <c r="O17" s="7" t="s">
        <v>0</v>
      </c>
      <c r="S17" s="6" t="s">
        <v>39</v>
      </c>
      <c r="T17" s="26" t="s">
        <v>132</v>
      </c>
      <c r="V17" s="6" t="s">
        <v>18</v>
      </c>
      <c r="W17" s="6" t="s">
        <v>52</v>
      </c>
    </row>
    <row r="18" spans="1:23" x14ac:dyDescent="0.25">
      <c r="A18" t="s">
        <v>75</v>
      </c>
      <c r="B18" s="2" t="s">
        <v>32</v>
      </c>
      <c r="C18" t="str">
        <f>INDEX(Típusok[],MATCH(Rendelések[[#This Row],[Típus]],Típusok[Típus],0),2)</f>
        <v>CT-111</v>
      </c>
      <c r="D18" s="14" t="str">
        <f>INDEX(Országok[],MATCH(Rendelések[[#This Row],[Célország]],Országok[Célország],0),2)</f>
        <v>Sarah Meyers</v>
      </c>
      <c r="E18" t="s">
        <v>18</v>
      </c>
      <c r="F18" s="12" t="str">
        <f>IF(Rendelések[[#This Row],[Max. várakozási idő]]&lt;10,"!","")</f>
        <v/>
      </c>
      <c r="G18" s="9">
        <v>44218</v>
      </c>
      <c r="H18" s="10">
        <v>12</v>
      </c>
      <c r="I18" s="9">
        <f>Rendelések[[#This Row],[Rendelés dátuma]]+minimum</f>
        <v>44223</v>
      </c>
      <c r="J18" s="9">
        <f>Rendelések[[#This Row],[Rendelés dátuma]]+Rendelések[[#This Row],[Max. várakozási idő]]</f>
        <v>44230</v>
      </c>
      <c r="K18" s="22">
        <v>14100</v>
      </c>
      <c r="L18" s="28">
        <v>15</v>
      </c>
      <c r="M18" s="22">
        <f>Rendelések[[#This Row],[Egységár (euró)]]*Rendelések[[#This Row],[Rendelt mennyiség]]</f>
        <v>211500</v>
      </c>
      <c r="N18" s="24">
        <f>Rendelések[[#This Row],[Fizetendő (euró)]]*$Q$2</f>
        <v>76140000</v>
      </c>
      <c r="O18" s="7" t="s">
        <v>0</v>
      </c>
      <c r="S18" s="6" t="s">
        <v>41</v>
      </c>
      <c r="T18" s="26" t="s">
        <v>133</v>
      </c>
      <c r="V18" s="6" t="s">
        <v>19</v>
      </c>
      <c r="W18" s="6" t="s">
        <v>54</v>
      </c>
    </row>
    <row r="19" spans="1:23" x14ac:dyDescent="0.25">
      <c r="A19" t="s">
        <v>76</v>
      </c>
      <c r="B19" s="2" t="s">
        <v>38</v>
      </c>
      <c r="C19" t="str">
        <f>INDEX(Típusok[],MATCH(Rendelések[[#This Row],[Típus]],Típusok[Típus],0),2)</f>
        <v>CT-104</v>
      </c>
      <c r="D19" s="14" t="str">
        <f>INDEX(Országok[],MATCH(Rendelések[[#This Row],[Célország]],Országok[Célország],0),2)</f>
        <v>Sierra Richardson</v>
      </c>
      <c r="E19" t="s">
        <v>12</v>
      </c>
      <c r="F19" s="12" t="str">
        <f>IF(Rendelések[[#This Row],[Max. várakozási idő]]&lt;10,"!","")</f>
        <v/>
      </c>
      <c r="G19" s="9">
        <v>44565</v>
      </c>
      <c r="H19" s="10">
        <v>16</v>
      </c>
      <c r="I19" s="9">
        <f>Rendelések[[#This Row],[Rendelés dátuma]]+minimum</f>
        <v>44570</v>
      </c>
      <c r="J19" s="9">
        <f>Rendelések[[#This Row],[Rendelés dátuma]]+Rendelések[[#This Row],[Max. várakozási idő]]</f>
        <v>44581</v>
      </c>
      <c r="K19" s="22">
        <v>13700</v>
      </c>
      <c r="L19" s="28">
        <v>20</v>
      </c>
      <c r="M19" s="22">
        <f>Rendelések[[#This Row],[Egységár (euró)]]*Rendelések[[#This Row],[Rendelt mennyiség]]</f>
        <v>274000</v>
      </c>
      <c r="N19" s="24">
        <f>Rendelések[[#This Row],[Fizetendő (euró)]]*$Q$2</f>
        <v>98640000</v>
      </c>
      <c r="O19" s="7" t="s">
        <v>0</v>
      </c>
      <c r="V19" s="6" t="s">
        <v>20</v>
      </c>
      <c r="W19" s="6" t="s">
        <v>58</v>
      </c>
    </row>
    <row r="20" spans="1:23" x14ac:dyDescent="0.25">
      <c r="A20" t="s">
        <v>77</v>
      </c>
      <c r="B20" s="2" t="s">
        <v>44</v>
      </c>
      <c r="C20" t="str">
        <f>INDEX(Típusok[],MATCH(Rendelések[[#This Row],[Típus]],Típusok[Típus],0),2)</f>
        <v>CT-106</v>
      </c>
      <c r="D20" s="14" t="str">
        <f>INDEX(Országok[],MATCH(Rendelések[[#This Row],[Célország]],Országok[Célország],0),2)</f>
        <v>Colton Suarez</v>
      </c>
      <c r="E20" t="s">
        <v>24</v>
      </c>
      <c r="F20" s="12" t="str">
        <f>IF(Rendelések[[#This Row],[Max. várakozási idő]]&lt;10,"!","")</f>
        <v/>
      </c>
      <c r="G20" s="9">
        <v>44580</v>
      </c>
      <c r="H20" s="10">
        <v>10</v>
      </c>
      <c r="I20" s="9">
        <f>Rendelések[[#This Row],[Rendelés dátuma]]+minimum</f>
        <v>44585</v>
      </c>
      <c r="J20" s="9">
        <f>Rendelések[[#This Row],[Rendelés dátuma]]+Rendelések[[#This Row],[Max. várakozási idő]]</f>
        <v>44590</v>
      </c>
      <c r="K20" s="22">
        <v>13700</v>
      </c>
      <c r="L20" s="28">
        <v>20</v>
      </c>
      <c r="M20" s="22">
        <f>Rendelések[[#This Row],[Egységár (euró)]]*Rendelések[[#This Row],[Rendelt mennyiség]]</f>
        <v>274000</v>
      </c>
      <c r="N20" s="24">
        <f>Rendelések[[#This Row],[Fizetendő (euró)]]*$Q$2</f>
        <v>98640000</v>
      </c>
      <c r="O20" s="7" t="s">
        <v>1</v>
      </c>
      <c r="V20" s="6" t="s">
        <v>21</v>
      </c>
      <c r="W20" s="6" t="s">
        <v>51</v>
      </c>
    </row>
    <row r="21" spans="1:23" x14ac:dyDescent="0.25">
      <c r="A21" t="s">
        <v>78</v>
      </c>
      <c r="B21" s="2" t="s">
        <v>41</v>
      </c>
      <c r="C21" t="str">
        <f>INDEX(Típusok[],MATCH(Rendelések[[#This Row],[Típus]],Típusok[Típus],0),2)</f>
        <v>CT-117</v>
      </c>
      <c r="D21" s="14" t="str">
        <f>INDEX(Országok[],MATCH(Rendelések[[#This Row],[Célország]],Országok[Célország],0),2)</f>
        <v>Brent Brennan</v>
      </c>
      <c r="E21" t="s">
        <v>7</v>
      </c>
      <c r="F21" s="12" t="str">
        <f>IF(Rendelések[[#This Row],[Max. várakozási idő]]&lt;10,"!","")</f>
        <v/>
      </c>
      <c r="G21" s="9">
        <v>44331</v>
      </c>
      <c r="H21" s="10">
        <v>16</v>
      </c>
      <c r="I21" s="9">
        <f>Rendelések[[#This Row],[Rendelés dátuma]]+minimum</f>
        <v>44336</v>
      </c>
      <c r="J21" s="9">
        <f>Rendelések[[#This Row],[Rendelés dátuma]]+Rendelések[[#This Row],[Max. várakozási idő]]</f>
        <v>44347</v>
      </c>
      <c r="K21" s="22">
        <v>14200</v>
      </c>
      <c r="L21" s="28">
        <v>15</v>
      </c>
      <c r="M21" s="22">
        <f>Rendelések[[#This Row],[Egységár (euró)]]*Rendelések[[#This Row],[Rendelt mennyiség]]</f>
        <v>213000</v>
      </c>
      <c r="N21" s="24">
        <f>Rendelések[[#This Row],[Fizetendő (euró)]]*$Q$2</f>
        <v>76680000</v>
      </c>
      <c r="O21" s="7" t="s">
        <v>0</v>
      </c>
      <c r="V21" s="6" t="s">
        <v>22</v>
      </c>
      <c r="W21" s="6" t="s">
        <v>55</v>
      </c>
    </row>
    <row r="22" spans="1:23" x14ac:dyDescent="0.25">
      <c r="A22" t="s">
        <v>79</v>
      </c>
      <c r="B22" s="2" t="s">
        <v>42</v>
      </c>
      <c r="C22" t="str">
        <f>INDEX(Típusok[],MATCH(Rendelések[[#This Row],[Típus]],Típusok[Típus],0),2)</f>
        <v>CT-113</v>
      </c>
      <c r="D22" s="14" t="str">
        <f>INDEX(Országok[],MATCH(Rendelések[[#This Row],[Célország]],Országok[Célország],0),2)</f>
        <v>Kelly Cook</v>
      </c>
      <c r="E22" t="s">
        <v>19</v>
      </c>
      <c r="F22" s="12" t="str">
        <f>IF(Rendelések[[#This Row],[Max. várakozási idő]]&lt;10,"!","")</f>
        <v/>
      </c>
      <c r="G22" s="9">
        <v>44442</v>
      </c>
      <c r="H22" s="10">
        <v>12</v>
      </c>
      <c r="I22" s="9">
        <f>Rendelések[[#This Row],[Rendelés dátuma]]+minimum</f>
        <v>44447</v>
      </c>
      <c r="J22" s="9">
        <f>Rendelések[[#This Row],[Rendelés dátuma]]+Rendelések[[#This Row],[Max. várakozási idő]]</f>
        <v>44454</v>
      </c>
      <c r="K22" s="22">
        <v>13700</v>
      </c>
      <c r="L22" s="28">
        <v>13</v>
      </c>
      <c r="M22" s="22">
        <f>Rendelések[[#This Row],[Egységár (euró)]]*Rendelések[[#This Row],[Rendelt mennyiség]]</f>
        <v>178100</v>
      </c>
      <c r="N22" s="24">
        <f>Rendelések[[#This Row],[Fizetendő (euró)]]*$Q$2</f>
        <v>64116000</v>
      </c>
      <c r="O22" s="7" t="s">
        <v>0</v>
      </c>
      <c r="V22" s="6" t="s">
        <v>23</v>
      </c>
      <c r="W22" s="6" t="s">
        <v>51</v>
      </c>
    </row>
    <row r="23" spans="1:23" x14ac:dyDescent="0.25">
      <c r="A23" t="s">
        <v>80</v>
      </c>
      <c r="B23" s="2" t="s">
        <v>42</v>
      </c>
      <c r="C23" t="str">
        <f>INDEX(Típusok[],MATCH(Rendelések[[#This Row],[Típus]],Típusok[Típus],0),2)</f>
        <v>CT-113</v>
      </c>
      <c r="D23" s="14" t="str">
        <f>INDEX(Országok[],MATCH(Rendelések[[#This Row],[Célország]],Országok[Célország],0),2)</f>
        <v>Malcolm Klein</v>
      </c>
      <c r="E23" t="s">
        <v>22</v>
      </c>
      <c r="F23" s="12" t="str">
        <f>IF(Rendelések[[#This Row],[Max. várakozási idő]]&lt;10,"!","")</f>
        <v/>
      </c>
      <c r="G23" s="9">
        <v>44358</v>
      </c>
      <c r="H23" s="10">
        <v>16</v>
      </c>
      <c r="I23" s="9">
        <f>Rendelések[[#This Row],[Rendelés dátuma]]+minimum</f>
        <v>44363</v>
      </c>
      <c r="J23" s="9">
        <f>Rendelések[[#This Row],[Rendelés dátuma]]+Rendelések[[#This Row],[Max. várakozási idő]]</f>
        <v>44374</v>
      </c>
      <c r="K23" s="22">
        <v>9200</v>
      </c>
      <c r="L23" s="28">
        <v>16</v>
      </c>
      <c r="M23" s="22">
        <f>Rendelések[[#This Row],[Egységár (euró)]]*Rendelések[[#This Row],[Rendelt mennyiség]]</f>
        <v>147200</v>
      </c>
      <c r="N23" s="24">
        <f>Rendelések[[#This Row],[Fizetendő (euró)]]*$Q$2</f>
        <v>52992000</v>
      </c>
      <c r="O23" s="7" t="s">
        <v>1</v>
      </c>
      <c r="V23" s="6" t="s">
        <v>24</v>
      </c>
      <c r="W23" s="6" t="s">
        <v>57</v>
      </c>
    </row>
    <row r="24" spans="1:23" x14ac:dyDescent="0.25">
      <c r="A24" t="s">
        <v>81</v>
      </c>
      <c r="B24" s="2" t="s">
        <v>48</v>
      </c>
      <c r="C24" t="str">
        <f>INDEX(Típusok[],MATCH(Rendelések[[#This Row],[Típus]],Típusok[Típus],0),2)</f>
        <v>CT-112</v>
      </c>
      <c r="D24" s="14" t="str">
        <f>INDEX(Országok[],MATCH(Rendelések[[#This Row],[Célország]],Országok[Célország],0),2)</f>
        <v>Brent Brennan</v>
      </c>
      <c r="E24" t="s">
        <v>7</v>
      </c>
      <c r="F24" s="12" t="str">
        <f>IF(Rendelések[[#This Row],[Max. várakozási idő]]&lt;10,"!","")</f>
        <v/>
      </c>
      <c r="G24" s="9">
        <v>44398</v>
      </c>
      <c r="H24" s="10">
        <v>20</v>
      </c>
      <c r="I24" s="9">
        <f>Rendelések[[#This Row],[Rendelés dátuma]]+minimum</f>
        <v>44403</v>
      </c>
      <c r="J24" s="9">
        <f>Rendelések[[#This Row],[Rendelés dátuma]]+Rendelések[[#This Row],[Max. várakozási idő]]</f>
        <v>44418</v>
      </c>
      <c r="K24" s="22">
        <v>13300</v>
      </c>
      <c r="L24" s="28">
        <v>16</v>
      </c>
      <c r="M24" s="22">
        <f>Rendelések[[#This Row],[Egységár (euró)]]*Rendelések[[#This Row],[Rendelt mennyiség]]</f>
        <v>212800</v>
      </c>
      <c r="N24" s="24">
        <f>Rendelések[[#This Row],[Fizetendő (euró)]]*$Q$2</f>
        <v>76608000</v>
      </c>
      <c r="O24" s="7" t="s">
        <v>0</v>
      </c>
      <c r="V24" s="6" t="s">
        <v>25</v>
      </c>
      <c r="W24" s="6" t="s">
        <v>50</v>
      </c>
    </row>
    <row r="25" spans="1:23" x14ac:dyDescent="0.25">
      <c r="A25" t="s">
        <v>82</v>
      </c>
      <c r="B25" s="2" t="s">
        <v>41</v>
      </c>
      <c r="C25" t="str">
        <f>INDEX(Típusok[],MATCH(Rendelések[[#This Row],[Típus]],Típusok[Típus],0),2)</f>
        <v>CT-117</v>
      </c>
      <c r="D25" s="14" t="str">
        <f>INDEX(Országok[],MATCH(Rendelések[[#This Row],[Célország]],Országok[Célország],0),2)</f>
        <v>Sarah Meyers</v>
      </c>
      <c r="E25" t="s">
        <v>18</v>
      </c>
      <c r="F25" s="12" t="str">
        <f>IF(Rendelések[[#This Row],[Max. várakozási idő]]&lt;10,"!","")</f>
        <v/>
      </c>
      <c r="G25" s="9">
        <v>44074</v>
      </c>
      <c r="H25" s="10">
        <v>13</v>
      </c>
      <c r="I25" s="9">
        <f>Rendelések[[#This Row],[Rendelés dátuma]]+minimum</f>
        <v>44079</v>
      </c>
      <c r="J25" s="9">
        <f>Rendelések[[#This Row],[Rendelés dátuma]]+Rendelések[[#This Row],[Max. várakozási idő]]</f>
        <v>44087</v>
      </c>
      <c r="K25" s="22">
        <v>9000</v>
      </c>
      <c r="L25" s="28">
        <v>12</v>
      </c>
      <c r="M25" s="22">
        <f>Rendelések[[#This Row],[Egységár (euró)]]*Rendelések[[#This Row],[Rendelt mennyiség]]</f>
        <v>108000</v>
      </c>
      <c r="N25" s="24">
        <f>Rendelések[[#This Row],[Fizetendő (euró)]]*$Q$2</f>
        <v>38880000</v>
      </c>
      <c r="O25" s="7" t="s">
        <v>1</v>
      </c>
      <c r="V25" s="6" t="s">
        <v>26</v>
      </c>
      <c r="W25" s="6" t="s">
        <v>57</v>
      </c>
    </row>
    <row r="26" spans="1:23" x14ac:dyDescent="0.25">
      <c r="A26" t="s">
        <v>83</v>
      </c>
      <c r="B26" s="2" t="s">
        <v>48</v>
      </c>
      <c r="C26" t="str">
        <f>INDEX(Típusok[],MATCH(Rendelések[[#This Row],[Típus]],Típusok[Típus],0),2)</f>
        <v>CT-112</v>
      </c>
      <c r="D26" s="14" t="str">
        <f>INDEX(Országok[],MATCH(Rendelések[[#This Row],[Célország]],Országok[Célország],0),2)</f>
        <v>Lars Cobb</v>
      </c>
      <c r="E26" t="s">
        <v>8</v>
      </c>
      <c r="F26" s="12" t="str">
        <f>IF(Rendelések[[#This Row],[Max. várakozási idő]]&lt;10,"!","")</f>
        <v/>
      </c>
      <c r="G26" s="9">
        <v>44145</v>
      </c>
      <c r="H26" s="10">
        <v>24</v>
      </c>
      <c r="I26" s="9">
        <f>Rendelések[[#This Row],[Rendelés dátuma]]+minimum</f>
        <v>44150</v>
      </c>
      <c r="J26" s="9">
        <f>Rendelések[[#This Row],[Rendelés dátuma]]+Rendelések[[#This Row],[Max. várakozási idő]]</f>
        <v>44169</v>
      </c>
      <c r="K26" s="22">
        <v>12300</v>
      </c>
      <c r="L26" s="28">
        <v>14</v>
      </c>
      <c r="M26" s="22">
        <f>Rendelések[[#This Row],[Egységár (euró)]]*Rendelések[[#This Row],[Rendelt mennyiség]]</f>
        <v>172200</v>
      </c>
      <c r="N26" s="24">
        <f>Rendelések[[#This Row],[Fizetendő (euró)]]*$Q$2</f>
        <v>61992000</v>
      </c>
      <c r="O26" s="7" t="s">
        <v>0</v>
      </c>
      <c r="V26" s="6" t="s">
        <v>27</v>
      </c>
      <c r="W26" s="6" t="s">
        <v>53</v>
      </c>
    </row>
    <row r="27" spans="1:23" x14ac:dyDescent="0.25">
      <c r="A27" t="s">
        <v>84</v>
      </c>
      <c r="B27" s="2" t="s">
        <v>42</v>
      </c>
      <c r="C27" t="str">
        <f>INDEX(Típusok[],MATCH(Rendelések[[#This Row],[Típus]],Típusok[Típus],0),2)</f>
        <v>CT-113</v>
      </c>
      <c r="D27" s="14" t="str">
        <f>INDEX(Országok[],MATCH(Rendelések[[#This Row],[Célország]],Országok[Célország],0),2)</f>
        <v>Kelly Cook</v>
      </c>
      <c r="E27" t="s">
        <v>4</v>
      </c>
      <c r="F27" s="12" t="str">
        <f>IF(Rendelések[[#This Row],[Max. várakozási idő]]&lt;10,"!","")</f>
        <v/>
      </c>
      <c r="G27" s="9">
        <v>44090</v>
      </c>
      <c r="H27" s="10">
        <v>30</v>
      </c>
      <c r="I27" s="9">
        <f>Rendelések[[#This Row],[Rendelés dátuma]]+minimum</f>
        <v>44095</v>
      </c>
      <c r="J27" s="9">
        <f>Rendelések[[#This Row],[Rendelés dátuma]]+Rendelések[[#This Row],[Max. várakozási idő]]</f>
        <v>44120</v>
      </c>
      <c r="K27" s="22">
        <v>10300</v>
      </c>
      <c r="L27" s="28">
        <v>12</v>
      </c>
      <c r="M27" s="22">
        <f>Rendelések[[#This Row],[Egységár (euró)]]*Rendelések[[#This Row],[Rendelt mennyiség]]</f>
        <v>123600</v>
      </c>
      <c r="N27" s="24">
        <f>Rendelések[[#This Row],[Fizetendő (euró)]]*$Q$2</f>
        <v>44496000</v>
      </c>
      <c r="O27" s="7" t="s">
        <v>0</v>
      </c>
      <c r="V27" s="6" t="s">
        <v>28</v>
      </c>
      <c r="W27" s="6" t="s">
        <v>58</v>
      </c>
    </row>
    <row r="28" spans="1:23" x14ac:dyDescent="0.25">
      <c r="A28" t="s">
        <v>85</v>
      </c>
      <c r="B28" s="2" t="s">
        <v>47</v>
      </c>
      <c r="C28" t="str">
        <f>INDEX(Típusok[],MATCH(Rendelések[[#This Row],[Típus]],Típusok[Típus],0),2)</f>
        <v>CT-105</v>
      </c>
      <c r="D28" s="14" t="str">
        <f>INDEX(Országok[],MATCH(Rendelések[[#This Row],[Célország]],Országok[Célország],0),2)</f>
        <v>Lars Cobb</v>
      </c>
      <c r="E28" t="s">
        <v>8</v>
      </c>
      <c r="F28" s="12" t="str">
        <f>IF(Rendelések[[#This Row],[Max. várakozási idő]]&lt;10,"!","")</f>
        <v/>
      </c>
      <c r="G28" s="9">
        <v>44509</v>
      </c>
      <c r="H28" s="10">
        <v>16</v>
      </c>
      <c r="I28" s="9">
        <f>Rendelések[[#This Row],[Rendelés dátuma]]+minimum</f>
        <v>44514</v>
      </c>
      <c r="J28" s="9">
        <f>Rendelések[[#This Row],[Rendelés dátuma]]+Rendelések[[#This Row],[Max. várakozási idő]]</f>
        <v>44525</v>
      </c>
      <c r="K28" s="22">
        <v>14100</v>
      </c>
      <c r="L28" s="28">
        <v>14</v>
      </c>
      <c r="M28" s="22">
        <f>Rendelések[[#This Row],[Egységár (euró)]]*Rendelések[[#This Row],[Rendelt mennyiség]]</f>
        <v>197400</v>
      </c>
      <c r="N28" s="24">
        <f>Rendelések[[#This Row],[Fizetendő (euró)]]*$Q$2</f>
        <v>71064000</v>
      </c>
      <c r="O28" s="7" t="s">
        <v>0</v>
      </c>
      <c r="V28" s="6" t="s">
        <v>29</v>
      </c>
      <c r="W28" s="6" t="s">
        <v>50</v>
      </c>
    </row>
    <row r="29" spans="1:23" x14ac:dyDescent="0.25">
      <c r="A29" t="s">
        <v>86</v>
      </c>
      <c r="B29" s="2" t="s">
        <v>39</v>
      </c>
      <c r="C29" t="str">
        <f>INDEX(Típusok[],MATCH(Rendelések[[#This Row],[Típus]],Típusok[Típus],0),2)</f>
        <v>CT-116</v>
      </c>
      <c r="D29" s="14" t="str">
        <f>INDEX(Országok[],MATCH(Rendelések[[#This Row],[Célország]],Országok[Célország],0),2)</f>
        <v>Malcolm Klein</v>
      </c>
      <c r="E29" t="s">
        <v>3</v>
      </c>
      <c r="F29" s="12" t="str">
        <f>IF(Rendelések[[#This Row],[Max. várakozási idő]]&lt;10,"!","")</f>
        <v/>
      </c>
      <c r="G29" s="9">
        <v>44109</v>
      </c>
      <c r="H29" s="10">
        <v>12</v>
      </c>
      <c r="I29" s="9">
        <f>Rendelések[[#This Row],[Rendelés dátuma]]+minimum</f>
        <v>44114</v>
      </c>
      <c r="J29" s="9">
        <f>Rendelések[[#This Row],[Rendelés dátuma]]+Rendelések[[#This Row],[Max. várakozási idő]]</f>
        <v>44121</v>
      </c>
      <c r="K29" s="22">
        <v>11100</v>
      </c>
      <c r="L29" s="28">
        <v>16</v>
      </c>
      <c r="M29" s="22">
        <f>Rendelések[[#This Row],[Egységár (euró)]]*Rendelések[[#This Row],[Rendelt mennyiség]]</f>
        <v>177600</v>
      </c>
      <c r="N29" s="24">
        <f>Rendelések[[#This Row],[Fizetendő (euró)]]*$Q$2</f>
        <v>63936000</v>
      </c>
      <c r="O29" s="7" t="s">
        <v>0</v>
      </c>
    </row>
    <row r="30" spans="1:23" x14ac:dyDescent="0.25">
      <c r="A30" t="s">
        <v>87</v>
      </c>
      <c r="B30" s="2" t="s">
        <v>45</v>
      </c>
      <c r="C30" t="str">
        <f>INDEX(Típusok[],MATCH(Rendelések[[#This Row],[Típus]],Típusok[Típus],0),2)</f>
        <v>CT-109</v>
      </c>
      <c r="D30" s="14" t="str">
        <f>INDEX(Országok[],MATCH(Rendelések[[#This Row],[Célország]],Országok[Célország],0),2)</f>
        <v>Kelly Cook</v>
      </c>
      <c r="E30" t="s">
        <v>14</v>
      </c>
      <c r="F30" s="12" t="str">
        <f>IF(Rendelések[[#This Row],[Max. várakozási idő]]&lt;10,"!","")</f>
        <v/>
      </c>
      <c r="G30" s="9">
        <v>44372</v>
      </c>
      <c r="H30" s="10">
        <v>10</v>
      </c>
      <c r="I30" s="9">
        <f>Rendelések[[#This Row],[Rendelés dátuma]]+minimum</f>
        <v>44377</v>
      </c>
      <c r="J30" s="9">
        <f>Rendelések[[#This Row],[Rendelés dátuma]]+Rendelések[[#This Row],[Max. várakozási idő]]</f>
        <v>44382</v>
      </c>
      <c r="K30" s="22">
        <v>9700</v>
      </c>
      <c r="L30" s="28">
        <v>10</v>
      </c>
      <c r="M30" s="22">
        <f>Rendelések[[#This Row],[Egységár (euró)]]*Rendelések[[#This Row],[Rendelt mennyiség]]</f>
        <v>97000</v>
      </c>
      <c r="N30" s="24">
        <f>Rendelések[[#This Row],[Fizetendő (euró)]]*$Q$2</f>
        <v>34920000</v>
      </c>
      <c r="O30" s="7" t="s">
        <v>1</v>
      </c>
    </row>
    <row r="31" spans="1:23" x14ac:dyDescent="0.25">
      <c r="A31" t="s">
        <v>88</v>
      </c>
      <c r="B31" s="2" t="s">
        <v>41</v>
      </c>
      <c r="C31" t="str">
        <f>INDEX(Típusok[],MATCH(Rendelések[[#This Row],[Típus]],Típusok[Típus],0),2)</f>
        <v>CT-117</v>
      </c>
      <c r="D31" s="14" t="str">
        <f>INDEX(Országok[],MATCH(Rendelések[[#This Row],[Célország]],Országok[Célország],0),2)</f>
        <v>Kelly Cook</v>
      </c>
      <c r="E31" t="s">
        <v>15</v>
      </c>
      <c r="F31" s="12" t="str">
        <f>IF(Rendelések[[#This Row],[Max. várakozási idő]]&lt;10,"!","")</f>
        <v/>
      </c>
      <c r="G31" s="9">
        <v>44266</v>
      </c>
      <c r="H31" s="10">
        <v>15</v>
      </c>
      <c r="I31" s="9">
        <f>Rendelések[[#This Row],[Rendelés dátuma]]+minimum</f>
        <v>44271</v>
      </c>
      <c r="J31" s="9">
        <f>Rendelések[[#This Row],[Rendelés dátuma]]+Rendelések[[#This Row],[Max. várakozási idő]]</f>
        <v>44281</v>
      </c>
      <c r="K31" s="22">
        <v>8000</v>
      </c>
      <c r="L31" s="28">
        <v>15</v>
      </c>
      <c r="M31" s="22">
        <f>Rendelések[[#This Row],[Egységár (euró)]]*Rendelések[[#This Row],[Rendelt mennyiség]]</f>
        <v>120000</v>
      </c>
      <c r="N31" s="24">
        <f>Rendelések[[#This Row],[Fizetendő (euró)]]*$Q$2</f>
        <v>43200000</v>
      </c>
      <c r="O31" s="7" t="s">
        <v>1</v>
      </c>
    </row>
    <row r="32" spans="1:23" x14ac:dyDescent="0.25">
      <c r="A32" t="s">
        <v>89</v>
      </c>
      <c r="B32" s="2" t="s">
        <v>42</v>
      </c>
      <c r="C32" t="str">
        <f>INDEX(Típusok[],MATCH(Rendelések[[#This Row],[Típus]],Típusok[Típus],0),2)</f>
        <v>CT-113</v>
      </c>
      <c r="D32" s="14" t="str">
        <f>INDEX(Országok[],MATCH(Rendelések[[#This Row],[Célország]],Országok[Célország],0),2)</f>
        <v>Sarah Meyers</v>
      </c>
      <c r="E32" t="s">
        <v>17</v>
      </c>
      <c r="F32" s="12" t="str">
        <f>IF(Rendelések[[#This Row],[Max. várakozási idő]]&lt;10,"!","")</f>
        <v/>
      </c>
      <c r="G32" s="9">
        <v>44536</v>
      </c>
      <c r="H32" s="10">
        <v>30</v>
      </c>
      <c r="I32" s="9">
        <f>Rendelések[[#This Row],[Rendelés dátuma]]+minimum</f>
        <v>44541</v>
      </c>
      <c r="J32" s="9">
        <f>Rendelések[[#This Row],[Rendelés dátuma]]+Rendelések[[#This Row],[Max. várakozási idő]]</f>
        <v>44566</v>
      </c>
      <c r="K32" s="22">
        <v>13100</v>
      </c>
      <c r="L32" s="28">
        <v>11</v>
      </c>
      <c r="M32" s="22">
        <f>Rendelések[[#This Row],[Egységár (euró)]]*Rendelések[[#This Row],[Rendelt mennyiség]]</f>
        <v>144100</v>
      </c>
      <c r="N32" s="24">
        <f>Rendelések[[#This Row],[Fizetendő (euró)]]*$Q$2</f>
        <v>51876000</v>
      </c>
      <c r="O32" s="7" t="s">
        <v>0</v>
      </c>
    </row>
    <row r="33" spans="1:15" x14ac:dyDescent="0.25">
      <c r="A33" t="s">
        <v>90</v>
      </c>
      <c r="B33" s="2" t="s">
        <v>33</v>
      </c>
      <c r="C33" t="str">
        <f>INDEX(Típusok[],MATCH(Rendelések[[#This Row],[Típus]],Típusok[Típus],0),2)</f>
        <v>CT-108</v>
      </c>
      <c r="D33" s="14" t="str">
        <f>INDEX(Országok[],MATCH(Rendelések[[#This Row],[Célország]],Országok[Célország],0),2)</f>
        <v>Kelly Cook</v>
      </c>
      <c r="E33" t="s">
        <v>19</v>
      </c>
      <c r="F33" s="12" t="str">
        <f>IF(Rendelések[[#This Row],[Max. várakozási idő]]&lt;10,"!","")</f>
        <v/>
      </c>
      <c r="G33" s="9">
        <v>44669</v>
      </c>
      <c r="H33" s="10">
        <v>16</v>
      </c>
      <c r="I33" s="9">
        <f>Rendelések[[#This Row],[Rendelés dátuma]]+minimum</f>
        <v>44674</v>
      </c>
      <c r="J33" s="9">
        <f>Rendelések[[#This Row],[Rendelés dátuma]]+Rendelések[[#This Row],[Max. várakozási idő]]</f>
        <v>44685</v>
      </c>
      <c r="K33" s="22">
        <v>12500</v>
      </c>
      <c r="L33" s="28">
        <v>10</v>
      </c>
      <c r="M33" s="22">
        <f>Rendelések[[#This Row],[Egységár (euró)]]*Rendelések[[#This Row],[Rendelt mennyiség]]</f>
        <v>125000</v>
      </c>
      <c r="N33" s="24">
        <f>Rendelések[[#This Row],[Fizetendő (euró)]]*$Q$2</f>
        <v>45000000</v>
      </c>
      <c r="O33" s="7" t="s">
        <v>0</v>
      </c>
    </row>
    <row r="34" spans="1:15" x14ac:dyDescent="0.25">
      <c r="A34" t="s">
        <v>91</v>
      </c>
      <c r="B34" s="2" t="s">
        <v>41</v>
      </c>
      <c r="C34" t="str">
        <f>INDEX(Típusok[],MATCH(Rendelések[[#This Row],[Típus]],Típusok[Típus],0),2)</f>
        <v>CT-117</v>
      </c>
      <c r="D34" s="14" t="str">
        <f>INDEX(Országok[],MATCH(Rendelések[[#This Row],[Célország]],Országok[Célország],0),2)</f>
        <v>Colton Suarez</v>
      </c>
      <c r="E34" t="s">
        <v>24</v>
      </c>
      <c r="F34" s="12" t="str">
        <f>IF(Rendelések[[#This Row],[Max. várakozási idő]]&lt;10,"!","")</f>
        <v/>
      </c>
      <c r="G34" s="9">
        <v>44691</v>
      </c>
      <c r="H34" s="10">
        <v>12</v>
      </c>
      <c r="I34" s="9">
        <f>Rendelések[[#This Row],[Rendelés dátuma]]+minimum</f>
        <v>44696</v>
      </c>
      <c r="J34" s="9">
        <f>Rendelések[[#This Row],[Rendelés dátuma]]+Rendelések[[#This Row],[Max. várakozási idő]]</f>
        <v>44703</v>
      </c>
      <c r="K34" s="22">
        <v>10000</v>
      </c>
      <c r="L34" s="28">
        <v>16</v>
      </c>
      <c r="M34" s="22">
        <f>Rendelések[[#This Row],[Egységár (euró)]]*Rendelések[[#This Row],[Rendelt mennyiség]]</f>
        <v>160000</v>
      </c>
      <c r="N34" s="24">
        <f>Rendelések[[#This Row],[Fizetendő (euró)]]*$Q$2</f>
        <v>57600000</v>
      </c>
      <c r="O34" s="7" t="s">
        <v>0</v>
      </c>
    </row>
    <row r="35" spans="1:15" x14ac:dyDescent="0.25">
      <c r="A35" t="s">
        <v>92</v>
      </c>
      <c r="B35" s="2" t="s">
        <v>44</v>
      </c>
      <c r="C35" t="str">
        <f>INDEX(Típusok[],MATCH(Rendelések[[#This Row],[Típus]],Típusok[Típus],0),2)</f>
        <v>CT-106</v>
      </c>
      <c r="D35" s="14" t="str">
        <f>INDEX(Országok[],MATCH(Rendelések[[#This Row],[Célország]],Országok[Célország],0),2)</f>
        <v>Brent Brennan</v>
      </c>
      <c r="E35" t="s">
        <v>16</v>
      </c>
      <c r="F35" s="12" t="str">
        <f>IF(Rendelések[[#This Row],[Max. várakozási idő]]&lt;10,"!","")</f>
        <v>!</v>
      </c>
      <c r="G35" s="9">
        <v>44155</v>
      </c>
      <c r="H35" s="10">
        <v>9</v>
      </c>
      <c r="I35" s="9">
        <f>Rendelések[[#This Row],[Rendelés dátuma]]+minimum</f>
        <v>44160</v>
      </c>
      <c r="J35" s="9">
        <f>Rendelések[[#This Row],[Rendelés dátuma]]+Rendelések[[#This Row],[Max. várakozási idő]]</f>
        <v>44164</v>
      </c>
      <c r="K35" s="22">
        <v>9400</v>
      </c>
      <c r="L35" s="28">
        <v>14</v>
      </c>
      <c r="M35" s="22">
        <f>Rendelések[[#This Row],[Egységár (euró)]]*Rendelések[[#This Row],[Rendelt mennyiség]]</f>
        <v>131600</v>
      </c>
      <c r="N35" s="24">
        <f>Rendelések[[#This Row],[Fizetendő (euró)]]*$Q$2</f>
        <v>47376000</v>
      </c>
      <c r="O35" s="7" t="s">
        <v>1</v>
      </c>
    </row>
    <row r="36" spans="1:15" x14ac:dyDescent="0.25">
      <c r="A36" t="s">
        <v>93</v>
      </c>
      <c r="B36" s="2" t="s">
        <v>37</v>
      </c>
      <c r="C36" t="str">
        <f>INDEX(Típusok[],MATCH(Rendelések[[#This Row],[Típus]],Típusok[Típus],0),2)</f>
        <v>CT-110</v>
      </c>
      <c r="D36" s="14" t="str">
        <f>INDEX(Országok[],MATCH(Rendelések[[#This Row],[Célország]],Országok[Célország],0),2)</f>
        <v>Malcolm Klein</v>
      </c>
      <c r="E36" t="s">
        <v>3</v>
      </c>
      <c r="F36" s="12" t="str">
        <f>IF(Rendelések[[#This Row],[Max. várakozási idő]]&lt;10,"!","")</f>
        <v/>
      </c>
      <c r="G36" s="9">
        <v>44605</v>
      </c>
      <c r="H36" s="10">
        <v>15</v>
      </c>
      <c r="I36" s="9">
        <f>Rendelések[[#This Row],[Rendelés dátuma]]+minimum</f>
        <v>44610</v>
      </c>
      <c r="J36" s="9">
        <f>Rendelések[[#This Row],[Rendelés dátuma]]+Rendelések[[#This Row],[Max. várakozási idő]]</f>
        <v>44620</v>
      </c>
      <c r="K36" s="22">
        <v>8700</v>
      </c>
      <c r="L36" s="28">
        <v>17</v>
      </c>
      <c r="M36" s="22">
        <f>Rendelések[[#This Row],[Egységár (euró)]]*Rendelések[[#This Row],[Rendelt mennyiség]]</f>
        <v>147900</v>
      </c>
      <c r="N36" s="24">
        <f>Rendelések[[#This Row],[Fizetendő (euró)]]*$Q$2</f>
        <v>53244000</v>
      </c>
      <c r="O36" s="7" t="s">
        <v>1</v>
      </c>
    </row>
    <row r="37" spans="1:15" x14ac:dyDescent="0.25">
      <c r="A37" t="s">
        <v>94</v>
      </c>
      <c r="B37" s="2" t="s">
        <v>35</v>
      </c>
      <c r="C37" t="str">
        <f>INDEX(Típusok[],MATCH(Rendelések[[#This Row],[Típus]],Típusok[Típus],0),2)</f>
        <v>CT-102</v>
      </c>
      <c r="D37" s="14" t="str">
        <f>INDEX(Országok[],MATCH(Rendelések[[#This Row],[Célország]],Országok[Célország],0),2)</f>
        <v>Sierra Richardson</v>
      </c>
      <c r="E37" t="s">
        <v>12</v>
      </c>
      <c r="F37" s="12" t="str">
        <f>IF(Rendelések[[#This Row],[Max. várakozási idő]]&lt;10,"!","")</f>
        <v/>
      </c>
      <c r="G37" s="9">
        <v>44459</v>
      </c>
      <c r="H37" s="10">
        <v>29</v>
      </c>
      <c r="I37" s="9">
        <f>Rendelések[[#This Row],[Rendelés dátuma]]+minimum</f>
        <v>44464</v>
      </c>
      <c r="J37" s="9">
        <f>Rendelések[[#This Row],[Rendelés dátuma]]+Rendelések[[#This Row],[Max. várakozási idő]]</f>
        <v>44488</v>
      </c>
      <c r="K37" s="22">
        <v>10400</v>
      </c>
      <c r="L37" s="28">
        <v>17</v>
      </c>
      <c r="M37" s="22">
        <f>Rendelések[[#This Row],[Egységár (euró)]]*Rendelések[[#This Row],[Rendelt mennyiség]]</f>
        <v>176800</v>
      </c>
      <c r="N37" s="24">
        <f>Rendelések[[#This Row],[Fizetendő (euró)]]*$Q$2</f>
        <v>63648000</v>
      </c>
      <c r="O37" s="7" t="s">
        <v>0</v>
      </c>
    </row>
    <row r="38" spans="1:15" x14ac:dyDescent="0.25">
      <c r="A38" t="s">
        <v>95</v>
      </c>
      <c r="B38" s="2" t="s">
        <v>44</v>
      </c>
      <c r="C38" t="str">
        <f>INDEX(Típusok[],MATCH(Rendelések[[#This Row],[Típus]],Típusok[Típus],0),2)</f>
        <v>CT-106</v>
      </c>
      <c r="D38" s="14" t="str">
        <f>INDEX(Országok[],MATCH(Rendelések[[#This Row],[Célország]],Országok[Célország],0),2)</f>
        <v>Sarah Meyers</v>
      </c>
      <c r="E38" t="s">
        <v>17</v>
      </c>
      <c r="F38" s="12" t="str">
        <f>IF(Rendelések[[#This Row],[Max. várakozási idő]]&lt;10,"!","")</f>
        <v/>
      </c>
      <c r="G38" s="9">
        <v>44720</v>
      </c>
      <c r="H38" s="10">
        <v>28</v>
      </c>
      <c r="I38" s="9">
        <f>Rendelések[[#This Row],[Rendelés dátuma]]+minimum</f>
        <v>44725</v>
      </c>
      <c r="J38" s="9">
        <f>Rendelések[[#This Row],[Rendelés dátuma]]+Rendelések[[#This Row],[Max. várakozási idő]]</f>
        <v>44748</v>
      </c>
      <c r="K38" s="22">
        <v>9500</v>
      </c>
      <c r="L38" s="28">
        <v>11</v>
      </c>
      <c r="M38" s="22">
        <f>Rendelések[[#This Row],[Egységár (euró)]]*Rendelések[[#This Row],[Rendelt mennyiség]]</f>
        <v>104500</v>
      </c>
      <c r="N38" s="24">
        <f>Rendelések[[#This Row],[Fizetendő (euró)]]*$Q$2</f>
        <v>37620000</v>
      </c>
      <c r="O38" s="7" t="s">
        <v>0</v>
      </c>
    </row>
    <row r="39" spans="1:15" x14ac:dyDescent="0.25">
      <c r="A39" t="s">
        <v>96</v>
      </c>
      <c r="B39" s="2" t="s">
        <v>37</v>
      </c>
      <c r="C39" t="str">
        <f>INDEX(Típusok[],MATCH(Rendelések[[#This Row],[Típus]],Típusok[Típus],0),2)</f>
        <v>CT-110</v>
      </c>
      <c r="D39" s="14" t="str">
        <f>INDEX(Országok[],MATCH(Rendelések[[#This Row],[Célország]],Országok[Célország],0),2)</f>
        <v>Brittany Francis</v>
      </c>
      <c r="E39" t="s">
        <v>6</v>
      </c>
      <c r="F39" s="12" t="str">
        <f>IF(Rendelések[[#This Row],[Max. várakozási idő]]&lt;10,"!","")</f>
        <v/>
      </c>
      <c r="G39" s="9">
        <v>44178</v>
      </c>
      <c r="H39" s="10">
        <v>14</v>
      </c>
      <c r="I39" s="9">
        <f>Rendelések[[#This Row],[Rendelés dátuma]]+minimum</f>
        <v>44183</v>
      </c>
      <c r="J39" s="9">
        <f>Rendelések[[#This Row],[Rendelés dátuma]]+Rendelések[[#This Row],[Max. várakozási idő]]</f>
        <v>44192</v>
      </c>
      <c r="K39" s="22">
        <v>10500</v>
      </c>
      <c r="L39" s="28">
        <v>10</v>
      </c>
      <c r="M39" s="22">
        <f>Rendelések[[#This Row],[Egységár (euró)]]*Rendelések[[#This Row],[Rendelt mennyiség]]</f>
        <v>105000</v>
      </c>
      <c r="N39" s="24">
        <f>Rendelések[[#This Row],[Fizetendő (euró)]]*$Q$2</f>
        <v>37800000</v>
      </c>
      <c r="O39" s="7" t="s">
        <v>0</v>
      </c>
    </row>
    <row r="40" spans="1:15" x14ac:dyDescent="0.25">
      <c r="A40" t="s">
        <v>97</v>
      </c>
      <c r="B40" s="2" t="s">
        <v>34</v>
      </c>
      <c r="C40" t="str">
        <f>INDEX(Típusok[],MATCH(Rendelések[[#This Row],[Típus]],Típusok[Típus],0),2)</f>
        <v>CT-101</v>
      </c>
      <c r="D40" s="14" t="str">
        <f>INDEX(Országok[],MATCH(Rendelések[[#This Row],[Célország]],Országok[Célország],0),2)</f>
        <v>Lars Cobb</v>
      </c>
      <c r="E40" t="s">
        <v>27</v>
      </c>
      <c r="F40" s="12" t="str">
        <f>IF(Rendelések[[#This Row],[Max. várakozási idő]]&lt;10,"!","")</f>
        <v/>
      </c>
      <c r="G40" s="9">
        <v>44218</v>
      </c>
      <c r="H40" s="10">
        <v>29</v>
      </c>
      <c r="I40" s="9">
        <f>Rendelések[[#This Row],[Rendelés dátuma]]+minimum</f>
        <v>44223</v>
      </c>
      <c r="J40" s="9">
        <f>Rendelések[[#This Row],[Rendelés dátuma]]+Rendelések[[#This Row],[Max. várakozási idő]]</f>
        <v>44247</v>
      </c>
      <c r="K40" s="22">
        <v>9800</v>
      </c>
      <c r="L40" s="28">
        <v>17</v>
      </c>
      <c r="M40" s="22">
        <f>Rendelések[[#This Row],[Egységár (euró)]]*Rendelések[[#This Row],[Rendelt mennyiség]]</f>
        <v>166600</v>
      </c>
      <c r="N40" s="24">
        <f>Rendelések[[#This Row],[Fizetendő (euró)]]*$Q$2</f>
        <v>59976000</v>
      </c>
      <c r="O40" s="7" t="s">
        <v>0</v>
      </c>
    </row>
    <row r="41" spans="1:15" x14ac:dyDescent="0.25">
      <c r="A41" t="s">
        <v>98</v>
      </c>
      <c r="B41" s="2" t="s">
        <v>41</v>
      </c>
      <c r="C41" t="str">
        <f>INDEX(Típusok[],MATCH(Rendelések[[#This Row],[Típus]],Típusok[Típus],0),2)</f>
        <v>CT-117</v>
      </c>
      <c r="D41" s="14" t="str">
        <f>INDEX(Országok[],MATCH(Rendelések[[#This Row],[Célország]],Országok[Célország],0),2)</f>
        <v>Malcolm Klein</v>
      </c>
      <c r="E41" t="s">
        <v>3</v>
      </c>
      <c r="F41" s="12" t="str">
        <f>IF(Rendelések[[#This Row],[Max. várakozási idő]]&lt;10,"!","")</f>
        <v/>
      </c>
      <c r="G41" s="9">
        <v>44167</v>
      </c>
      <c r="H41" s="10">
        <v>22</v>
      </c>
      <c r="I41" s="9">
        <f>Rendelések[[#This Row],[Rendelés dátuma]]+minimum</f>
        <v>44172</v>
      </c>
      <c r="J41" s="9">
        <f>Rendelések[[#This Row],[Rendelés dátuma]]+Rendelések[[#This Row],[Max. várakozási idő]]</f>
        <v>44189</v>
      </c>
      <c r="K41" s="22">
        <v>14700</v>
      </c>
      <c r="L41" s="28">
        <v>14</v>
      </c>
      <c r="M41" s="22">
        <f>Rendelések[[#This Row],[Egységár (euró)]]*Rendelések[[#This Row],[Rendelt mennyiség]]</f>
        <v>205800</v>
      </c>
      <c r="N41" s="24">
        <f>Rendelések[[#This Row],[Fizetendő (euró)]]*$Q$2</f>
        <v>74088000</v>
      </c>
      <c r="O41" s="7" t="s">
        <v>0</v>
      </c>
    </row>
    <row r="42" spans="1:15" x14ac:dyDescent="0.25">
      <c r="A42" t="s">
        <v>99</v>
      </c>
      <c r="B42" s="2" t="s">
        <v>33</v>
      </c>
      <c r="C42" t="str">
        <f>INDEX(Típusok[],MATCH(Rendelések[[#This Row],[Típus]],Típusok[Típus],0),2)</f>
        <v>CT-108</v>
      </c>
      <c r="D42" s="14" t="str">
        <f>INDEX(Országok[],MATCH(Rendelések[[#This Row],[Célország]],Országok[Célország],0),2)</f>
        <v>Sierra Richardson</v>
      </c>
      <c r="E42" t="s">
        <v>21</v>
      </c>
      <c r="F42" s="12" t="str">
        <f>IF(Rendelések[[#This Row],[Max. várakozási idő]]&lt;10,"!","")</f>
        <v/>
      </c>
      <c r="G42" s="9">
        <v>44380</v>
      </c>
      <c r="H42" s="10">
        <v>17</v>
      </c>
      <c r="I42" s="9">
        <f>Rendelések[[#This Row],[Rendelés dátuma]]+minimum</f>
        <v>44385</v>
      </c>
      <c r="J42" s="9">
        <f>Rendelések[[#This Row],[Rendelés dátuma]]+Rendelések[[#This Row],[Max. várakozási idő]]</f>
        <v>44397</v>
      </c>
      <c r="K42" s="22">
        <v>13600</v>
      </c>
      <c r="L42" s="28">
        <v>16</v>
      </c>
      <c r="M42" s="22">
        <f>Rendelések[[#This Row],[Egységár (euró)]]*Rendelések[[#This Row],[Rendelt mennyiség]]</f>
        <v>217600</v>
      </c>
      <c r="N42" s="24">
        <f>Rendelések[[#This Row],[Fizetendő (euró)]]*$Q$2</f>
        <v>78336000</v>
      </c>
      <c r="O42" s="7" t="s">
        <v>0</v>
      </c>
    </row>
    <row r="43" spans="1:15" x14ac:dyDescent="0.25">
      <c r="A43" t="s">
        <v>100</v>
      </c>
      <c r="B43" s="2" t="s">
        <v>34</v>
      </c>
      <c r="C43" t="str">
        <f>INDEX(Típusok[],MATCH(Rendelések[[#This Row],[Típus]],Típusok[Típus],0),2)</f>
        <v>CT-101</v>
      </c>
      <c r="D43" s="14" t="str">
        <f>INDEX(Országok[],MATCH(Rendelések[[#This Row],[Célország]],Országok[Célország],0),2)</f>
        <v>Brittany Francis</v>
      </c>
      <c r="E43" t="s">
        <v>6</v>
      </c>
      <c r="F43" s="12" t="str">
        <f>IF(Rendelések[[#This Row],[Max. várakozási idő]]&lt;10,"!","")</f>
        <v/>
      </c>
      <c r="G43" s="9">
        <v>44224</v>
      </c>
      <c r="H43" s="10">
        <v>29</v>
      </c>
      <c r="I43" s="9">
        <f>Rendelések[[#This Row],[Rendelés dátuma]]+minimum</f>
        <v>44229</v>
      </c>
      <c r="J43" s="9">
        <f>Rendelések[[#This Row],[Rendelés dátuma]]+Rendelések[[#This Row],[Max. várakozási idő]]</f>
        <v>44253</v>
      </c>
      <c r="K43" s="22">
        <v>11900</v>
      </c>
      <c r="L43" s="28">
        <v>20</v>
      </c>
      <c r="M43" s="22">
        <f>Rendelések[[#This Row],[Egységár (euró)]]*Rendelések[[#This Row],[Rendelt mennyiség]]</f>
        <v>238000</v>
      </c>
      <c r="N43" s="24">
        <f>Rendelések[[#This Row],[Fizetendő (euró)]]*$Q$2</f>
        <v>85680000</v>
      </c>
      <c r="O43" s="7" t="s">
        <v>0</v>
      </c>
    </row>
    <row r="44" spans="1:15" x14ac:dyDescent="0.25">
      <c r="A44" t="s">
        <v>101</v>
      </c>
      <c r="B44" s="2" t="s">
        <v>34</v>
      </c>
      <c r="C44" t="str">
        <f>INDEX(Típusok[],MATCH(Rendelések[[#This Row],[Típus]],Típusok[Típus],0),2)</f>
        <v>CT-101</v>
      </c>
      <c r="D44" s="14" t="str">
        <f>INDEX(Országok[],MATCH(Rendelések[[#This Row],[Célország]],Országok[Célország],0),2)</f>
        <v>Sarah Meyers</v>
      </c>
      <c r="E44" t="s">
        <v>18</v>
      </c>
      <c r="F44" s="12" t="str">
        <f>IF(Rendelések[[#This Row],[Max. várakozási idő]]&lt;10,"!","")</f>
        <v/>
      </c>
      <c r="G44" s="9">
        <v>44694</v>
      </c>
      <c r="H44" s="10">
        <v>20</v>
      </c>
      <c r="I44" s="9">
        <f>Rendelések[[#This Row],[Rendelés dátuma]]+minimum</f>
        <v>44699</v>
      </c>
      <c r="J44" s="9">
        <f>Rendelések[[#This Row],[Rendelés dátuma]]+Rendelések[[#This Row],[Max. várakozási idő]]</f>
        <v>44714</v>
      </c>
      <c r="K44" s="22">
        <v>9500</v>
      </c>
      <c r="L44" s="28">
        <v>17</v>
      </c>
      <c r="M44" s="22">
        <f>Rendelések[[#This Row],[Egységár (euró)]]*Rendelések[[#This Row],[Rendelt mennyiség]]</f>
        <v>161500</v>
      </c>
      <c r="N44" s="24">
        <f>Rendelések[[#This Row],[Fizetendő (euró)]]*$Q$2</f>
        <v>58140000</v>
      </c>
      <c r="O44" s="7" t="s">
        <v>1</v>
      </c>
    </row>
    <row r="45" spans="1:15" x14ac:dyDescent="0.25">
      <c r="A45" t="s">
        <v>102</v>
      </c>
      <c r="B45" s="2" t="s">
        <v>38</v>
      </c>
      <c r="C45" t="str">
        <f>INDEX(Típusok[],MATCH(Rendelések[[#This Row],[Típus]],Típusok[Típus],0),2)</f>
        <v>CT-104</v>
      </c>
      <c r="D45" s="14" t="str">
        <f>INDEX(Országok[],MATCH(Rendelések[[#This Row],[Célország]],Országok[Célország],0),2)</f>
        <v>Colton Suarez</v>
      </c>
      <c r="E45" t="s">
        <v>26</v>
      </c>
      <c r="F45" s="12" t="str">
        <f>IF(Rendelések[[#This Row],[Max. várakozási idő]]&lt;10,"!","")</f>
        <v/>
      </c>
      <c r="G45" s="9">
        <v>44135</v>
      </c>
      <c r="H45" s="10">
        <v>17</v>
      </c>
      <c r="I45" s="9">
        <f>Rendelések[[#This Row],[Rendelés dátuma]]+minimum</f>
        <v>44140</v>
      </c>
      <c r="J45" s="9">
        <f>Rendelések[[#This Row],[Rendelés dátuma]]+Rendelések[[#This Row],[Max. várakozási idő]]</f>
        <v>44152</v>
      </c>
      <c r="K45" s="22">
        <v>10600</v>
      </c>
      <c r="L45" s="28">
        <v>10</v>
      </c>
      <c r="M45" s="22">
        <f>Rendelések[[#This Row],[Egységár (euró)]]*Rendelések[[#This Row],[Rendelt mennyiség]]</f>
        <v>106000</v>
      </c>
      <c r="N45" s="24">
        <f>Rendelések[[#This Row],[Fizetendő (euró)]]*$Q$2</f>
        <v>38160000</v>
      </c>
      <c r="O45" s="7" t="s">
        <v>0</v>
      </c>
    </row>
    <row r="46" spans="1:15" x14ac:dyDescent="0.25">
      <c r="A46" t="s">
        <v>103</v>
      </c>
      <c r="B46" s="2" t="s">
        <v>43</v>
      </c>
      <c r="C46" t="str">
        <f>INDEX(Típusok[],MATCH(Rendelések[[#This Row],[Típus]],Típusok[Típus],0),2)</f>
        <v>CT-103</v>
      </c>
      <c r="D46" s="14" t="str">
        <f>INDEX(Országok[],MATCH(Rendelések[[#This Row],[Célország]],Országok[Célország],0),2)</f>
        <v>Brent Brennan</v>
      </c>
      <c r="E46" t="s">
        <v>16</v>
      </c>
      <c r="F46" s="12" t="str">
        <f>IF(Rendelések[[#This Row],[Max. várakozási idő]]&lt;10,"!","")</f>
        <v>!</v>
      </c>
      <c r="G46" s="9">
        <v>44722</v>
      </c>
      <c r="H46" s="10">
        <v>6</v>
      </c>
      <c r="I46" s="9">
        <f>Rendelések[[#This Row],[Rendelés dátuma]]+minimum</f>
        <v>44727</v>
      </c>
      <c r="J46" s="9">
        <f>Rendelések[[#This Row],[Rendelés dátuma]]+Rendelések[[#This Row],[Max. várakozási idő]]</f>
        <v>44728</v>
      </c>
      <c r="K46" s="22">
        <v>13800</v>
      </c>
      <c r="L46" s="28">
        <v>17</v>
      </c>
      <c r="M46" s="22">
        <f>Rendelések[[#This Row],[Egységár (euró)]]*Rendelések[[#This Row],[Rendelt mennyiség]]</f>
        <v>234600</v>
      </c>
      <c r="N46" s="24">
        <f>Rendelések[[#This Row],[Fizetendő (euró)]]*$Q$2</f>
        <v>84456000</v>
      </c>
      <c r="O46" s="7" t="s">
        <v>0</v>
      </c>
    </row>
    <row r="47" spans="1:15" x14ac:dyDescent="0.25">
      <c r="A47" t="s">
        <v>104</v>
      </c>
      <c r="B47" s="2" t="s">
        <v>36</v>
      </c>
      <c r="C47" t="str">
        <f>INDEX(Típusok[],MATCH(Rendelések[[#This Row],[Típus]],Típusok[Típus],0),2)</f>
        <v>CT-115</v>
      </c>
      <c r="D47" s="14" t="str">
        <f>INDEX(Országok[],MATCH(Rendelések[[#This Row],[Célország]],Országok[Célország],0),2)</f>
        <v>Brent Brennan</v>
      </c>
      <c r="E47" t="s">
        <v>16</v>
      </c>
      <c r="F47" s="12" t="str">
        <f>IF(Rendelések[[#This Row],[Max. várakozási idő]]&lt;10,"!","")</f>
        <v/>
      </c>
      <c r="G47" s="9">
        <v>44609</v>
      </c>
      <c r="H47" s="10">
        <v>17</v>
      </c>
      <c r="I47" s="9">
        <f>Rendelések[[#This Row],[Rendelés dátuma]]+minimum</f>
        <v>44614</v>
      </c>
      <c r="J47" s="9">
        <f>Rendelések[[#This Row],[Rendelés dátuma]]+Rendelések[[#This Row],[Max. várakozási idő]]</f>
        <v>44626</v>
      </c>
      <c r="K47" s="22">
        <v>10800</v>
      </c>
      <c r="L47" s="28">
        <v>14</v>
      </c>
      <c r="M47" s="22">
        <f>Rendelések[[#This Row],[Egységár (euró)]]*Rendelések[[#This Row],[Rendelt mennyiség]]</f>
        <v>151200</v>
      </c>
      <c r="N47" s="24">
        <f>Rendelések[[#This Row],[Fizetendő (euró)]]*$Q$2</f>
        <v>54432000</v>
      </c>
      <c r="O47" s="7" t="s">
        <v>0</v>
      </c>
    </row>
    <row r="48" spans="1:15" x14ac:dyDescent="0.25">
      <c r="A48" t="s">
        <v>105</v>
      </c>
      <c r="B48" s="2" t="s">
        <v>41</v>
      </c>
      <c r="C48" t="str">
        <f>INDEX(Típusok[],MATCH(Rendelések[[#This Row],[Típus]],Típusok[Típus],0),2)</f>
        <v>CT-117</v>
      </c>
      <c r="D48" s="14" t="str">
        <f>INDEX(Országok[],MATCH(Rendelések[[#This Row],[Célország]],Országok[Célország],0),2)</f>
        <v>Brent Brennan</v>
      </c>
      <c r="E48" t="s">
        <v>20</v>
      </c>
      <c r="F48" s="12" t="str">
        <f>IF(Rendelések[[#This Row],[Max. várakozási idő]]&lt;10,"!","")</f>
        <v/>
      </c>
      <c r="G48" s="9">
        <v>44717</v>
      </c>
      <c r="H48" s="10">
        <v>28</v>
      </c>
      <c r="I48" s="9">
        <f>Rendelések[[#This Row],[Rendelés dátuma]]+minimum</f>
        <v>44722</v>
      </c>
      <c r="J48" s="9">
        <f>Rendelések[[#This Row],[Rendelés dátuma]]+Rendelések[[#This Row],[Max. várakozási idő]]</f>
        <v>44745</v>
      </c>
      <c r="K48" s="22">
        <v>9700</v>
      </c>
      <c r="L48" s="28">
        <v>16</v>
      </c>
      <c r="M48" s="22">
        <f>Rendelések[[#This Row],[Egységár (euró)]]*Rendelések[[#This Row],[Rendelt mennyiség]]</f>
        <v>155200</v>
      </c>
      <c r="N48" s="24">
        <f>Rendelések[[#This Row],[Fizetendő (euró)]]*$Q$2</f>
        <v>55872000</v>
      </c>
      <c r="O48" s="7" t="s">
        <v>1</v>
      </c>
    </row>
    <row r="49" spans="1:15" x14ac:dyDescent="0.25">
      <c r="A49" t="s">
        <v>106</v>
      </c>
      <c r="B49" s="2" t="s">
        <v>43</v>
      </c>
      <c r="C49" t="str">
        <f>INDEX(Típusok[],MATCH(Rendelések[[#This Row],[Típus]],Típusok[Típus],0),2)</f>
        <v>CT-103</v>
      </c>
      <c r="D49" s="14" t="str">
        <f>INDEX(Országok[],MATCH(Rendelések[[#This Row],[Célország]],Országok[Célország],0),2)</f>
        <v>Sarah Meyers</v>
      </c>
      <c r="E49" t="s">
        <v>10</v>
      </c>
      <c r="F49" s="12" t="str">
        <f>IF(Rendelések[[#This Row],[Max. várakozási idő]]&lt;10,"!","")</f>
        <v/>
      </c>
      <c r="G49" s="9">
        <v>44274</v>
      </c>
      <c r="H49" s="10">
        <v>12</v>
      </c>
      <c r="I49" s="9">
        <f>Rendelések[[#This Row],[Rendelés dátuma]]+minimum</f>
        <v>44279</v>
      </c>
      <c r="J49" s="9">
        <f>Rendelések[[#This Row],[Rendelés dátuma]]+Rendelések[[#This Row],[Max. várakozási idő]]</f>
        <v>44286</v>
      </c>
      <c r="K49" s="22">
        <v>8300</v>
      </c>
      <c r="L49" s="28">
        <v>11</v>
      </c>
      <c r="M49" s="22">
        <f>Rendelések[[#This Row],[Egységár (euró)]]*Rendelések[[#This Row],[Rendelt mennyiség]]</f>
        <v>91300</v>
      </c>
      <c r="N49" s="24">
        <f>Rendelések[[#This Row],[Fizetendő (euró)]]*$Q$2</f>
        <v>32868000</v>
      </c>
      <c r="O49" s="7" t="s">
        <v>0</v>
      </c>
    </row>
    <row r="50" spans="1:15" x14ac:dyDescent="0.25">
      <c r="A50" t="s">
        <v>107</v>
      </c>
      <c r="B50" s="2" t="s">
        <v>41</v>
      </c>
      <c r="C50" t="str">
        <f>INDEX(Típusok[],MATCH(Rendelések[[#This Row],[Típus]],Típusok[Típus],0),2)</f>
        <v>CT-117</v>
      </c>
      <c r="D50" s="14" t="str">
        <f>INDEX(Országok[],MATCH(Rendelések[[#This Row],[Célország]],Országok[Célország],0),2)</f>
        <v>Kelly Cook</v>
      </c>
      <c r="E50" t="s">
        <v>14</v>
      </c>
      <c r="F50" s="12" t="str">
        <f>IF(Rendelések[[#This Row],[Max. várakozási idő]]&lt;10,"!","")</f>
        <v/>
      </c>
      <c r="G50" s="9">
        <v>44570</v>
      </c>
      <c r="H50" s="10">
        <v>10</v>
      </c>
      <c r="I50" s="9">
        <f>Rendelések[[#This Row],[Rendelés dátuma]]+minimum</f>
        <v>44575</v>
      </c>
      <c r="J50" s="9">
        <f>Rendelések[[#This Row],[Rendelés dátuma]]+Rendelések[[#This Row],[Max. várakozási idő]]</f>
        <v>44580</v>
      </c>
      <c r="K50" s="22">
        <v>12300</v>
      </c>
      <c r="L50" s="28">
        <v>15</v>
      </c>
      <c r="M50" s="22">
        <f>Rendelések[[#This Row],[Egységár (euró)]]*Rendelések[[#This Row],[Rendelt mennyiség]]</f>
        <v>184500</v>
      </c>
      <c r="N50" s="24">
        <f>Rendelések[[#This Row],[Fizetendő (euró)]]*$Q$2</f>
        <v>66420000</v>
      </c>
      <c r="O50" s="7" t="s">
        <v>0</v>
      </c>
    </row>
    <row r="51" spans="1:15" x14ac:dyDescent="0.25">
      <c r="A51" t="s">
        <v>108</v>
      </c>
      <c r="B51" s="2" t="s">
        <v>39</v>
      </c>
      <c r="C51" t="str">
        <f>INDEX(Típusok[],MATCH(Rendelések[[#This Row],[Típus]],Típusok[Típus],0),2)</f>
        <v>CT-116</v>
      </c>
      <c r="D51" s="14" t="str">
        <f>INDEX(Országok[],MATCH(Rendelések[[#This Row],[Célország]],Országok[Célország],0),2)</f>
        <v>Sarah Meyers</v>
      </c>
      <c r="E51" t="s">
        <v>11</v>
      </c>
      <c r="F51" s="12" t="str">
        <f>IF(Rendelések[[#This Row],[Max. várakozási idő]]&lt;10,"!","")</f>
        <v>!</v>
      </c>
      <c r="G51" s="9">
        <v>44067</v>
      </c>
      <c r="H51" s="10">
        <v>9</v>
      </c>
      <c r="I51" s="9">
        <f>Rendelések[[#This Row],[Rendelés dátuma]]+minimum</f>
        <v>44072</v>
      </c>
      <c r="J51" s="9">
        <f>Rendelések[[#This Row],[Rendelés dátuma]]+Rendelések[[#This Row],[Max. várakozási idő]]</f>
        <v>44076</v>
      </c>
      <c r="K51" s="23">
        <v>11500</v>
      </c>
      <c r="L51" s="28">
        <v>12</v>
      </c>
      <c r="M51" s="22">
        <f>Rendelések[[#This Row],[Egységár (euró)]]*Rendelések[[#This Row],[Rendelt mennyiség]]</f>
        <v>138000</v>
      </c>
      <c r="N51" s="24">
        <f>Rendelések[[#This Row],[Fizetendő (euró)]]*$Q$2</f>
        <v>49680000</v>
      </c>
      <c r="O51" s="8" t="s">
        <v>0</v>
      </c>
    </row>
    <row r="52" spans="1:15" x14ac:dyDescent="0.25">
      <c r="K52" s="1"/>
      <c r="L52" s="4"/>
      <c r="M52" s="4"/>
      <c r="N52" s="4"/>
    </row>
    <row r="53" spans="1:15" x14ac:dyDescent="0.25">
      <c r="K53" s="1"/>
      <c r="L53" s="4"/>
      <c r="M53" s="4"/>
      <c r="N53" s="4"/>
    </row>
    <row r="54" spans="1:15" x14ac:dyDescent="0.25">
      <c r="K54" s="1"/>
      <c r="L54" s="4"/>
      <c r="M54" s="4"/>
      <c r="N54" s="4"/>
    </row>
    <row r="55" spans="1:15" x14ac:dyDescent="0.25">
      <c r="K55" s="1"/>
      <c r="L55" s="4"/>
      <c r="M55" s="4"/>
      <c r="N55" s="4"/>
    </row>
    <row r="56" spans="1:15" x14ac:dyDescent="0.25">
      <c r="K56" s="1"/>
      <c r="L56" s="4"/>
      <c r="M56" s="4"/>
      <c r="N56" s="4"/>
    </row>
    <row r="57" spans="1:15" x14ac:dyDescent="0.25">
      <c r="K57" s="1"/>
      <c r="L57" s="4"/>
      <c r="M57" s="4"/>
      <c r="N57" s="4"/>
    </row>
    <row r="58" spans="1:15" x14ac:dyDescent="0.25">
      <c r="K58" s="1"/>
      <c r="L58" s="4"/>
      <c r="M58" s="4"/>
      <c r="N58" s="4"/>
    </row>
    <row r="59" spans="1:15" x14ac:dyDescent="0.25">
      <c r="K59" s="1"/>
      <c r="L59" s="4"/>
      <c r="M59" s="4"/>
      <c r="N59" s="4"/>
    </row>
    <row r="60" spans="1:15" x14ac:dyDescent="0.25">
      <c r="K60" s="1"/>
      <c r="L60" s="4"/>
      <c r="M60" s="4"/>
      <c r="N60" s="4"/>
    </row>
    <row r="61" spans="1:15" x14ac:dyDescent="0.25">
      <c r="K61" s="1"/>
      <c r="L61" s="4"/>
      <c r="M61" s="4"/>
      <c r="N61" s="4"/>
    </row>
    <row r="62" spans="1:15" x14ac:dyDescent="0.25">
      <c r="K62" s="1"/>
      <c r="L62" s="4"/>
      <c r="M62" s="4"/>
      <c r="N62" s="4"/>
    </row>
    <row r="63" spans="1:15" x14ac:dyDescent="0.25">
      <c r="K63" s="1"/>
      <c r="L63" s="4"/>
      <c r="M63" s="4"/>
      <c r="N63" s="4"/>
    </row>
    <row r="64" spans="1:15" x14ac:dyDescent="0.25">
      <c r="K64" s="1"/>
      <c r="L64" s="4"/>
      <c r="M64" s="4"/>
      <c r="N64" s="4"/>
    </row>
    <row r="65" spans="11:14" x14ac:dyDescent="0.25">
      <c r="K65" s="1"/>
      <c r="L65" s="4"/>
      <c r="M65" s="4"/>
      <c r="N65" s="4"/>
    </row>
    <row r="66" spans="11:14" x14ac:dyDescent="0.25">
      <c r="K66" s="1"/>
      <c r="L66" s="4"/>
      <c r="M66" s="4"/>
      <c r="N66" s="4"/>
    </row>
    <row r="67" spans="11:14" x14ac:dyDescent="0.25">
      <c r="K67" s="1"/>
      <c r="L67" s="4"/>
      <c r="M67" s="4"/>
      <c r="N67" s="4"/>
    </row>
    <row r="68" spans="11:14" x14ac:dyDescent="0.25">
      <c r="K68" s="1"/>
      <c r="L68" s="4"/>
      <c r="M68" s="4"/>
      <c r="N68" s="4"/>
    </row>
    <row r="69" spans="11:14" x14ac:dyDescent="0.25">
      <c r="K69" s="1"/>
      <c r="L69" s="4"/>
      <c r="M69" s="4"/>
      <c r="N69" s="4"/>
    </row>
    <row r="70" spans="11:14" x14ac:dyDescent="0.25">
      <c r="K70" s="1"/>
      <c r="L70" s="4"/>
      <c r="M70" s="4"/>
      <c r="N70" s="4"/>
    </row>
    <row r="71" spans="11:14" x14ac:dyDescent="0.25">
      <c r="K71" s="1"/>
      <c r="L71" s="4"/>
      <c r="M71" s="4"/>
      <c r="N71" s="4"/>
    </row>
    <row r="72" spans="11:14" x14ac:dyDescent="0.25">
      <c r="K72" s="1"/>
      <c r="L72" s="4"/>
      <c r="M72" s="4"/>
      <c r="N72" s="4"/>
    </row>
    <row r="73" spans="11:14" x14ac:dyDescent="0.25">
      <c r="K73" s="1"/>
      <c r="L73" s="4"/>
      <c r="M73" s="4"/>
      <c r="N73" s="4"/>
    </row>
    <row r="74" spans="11:14" x14ac:dyDescent="0.25">
      <c r="K74" s="1"/>
      <c r="L74" s="4"/>
      <c r="M74" s="4"/>
      <c r="N74" s="4"/>
    </row>
    <row r="75" spans="11:14" x14ac:dyDescent="0.25">
      <c r="K75" s="1"/>
      <c r="L75" s="4"/>
      <c r="M75" s="4"/>
      <c r="N75" s="4"/>
    </row>
    <row r="76" spans="11:14" x14ac:dyDescent="0.25">
      <c r="K76" s="1"/>
      <c r="L76" s="4"/>
      <c r="M76" s="4"/>
      <c r="N76" s="4"/>
    </row>
    <row r="77" spans="11:14" x14ac:dyDescent="0.25">
      <c r="K77" s="1"/>
      <c r="L77" s="4"/>
      <c r="M77" s="4"/>
      <c r="N77" s="4"/>
    </row>
    <row r="78" spans="11:14" x14ac:dyDescent="0.25">
      <c r="K78" s="1"/>
      <c r="L78" s="4"/>
      <c r="M78" s="4"/>
      <c r="N78" s="4"/>
    </row>
    <row r="79" spans="11:14" x14ac:dyDescent="0.25">
      <c r="K79" s="1"/>
      <c r="L79" s="4"/>
      <c r="M79" s="4"/>
      <c r="N79" s="4"/>
    </row>
    <row r="80" spans="11:14" x14ac:dyDescent="0.25">
      <c r="K80" s="1"/>
      <c r="L80" s="4"/>
      <c r="M80" s="4"/>
      <c r="N80" s="4"/>
    </row>
    <row r="81" spans="11:14" x14ac:dyDescent="0.25">
      <c r="K81" s="1"/>
      <c r="L81" s="4"/>
      <c r="M81" s="4"/>
      <c r="N81" s="4"/>
    </row>
    <row r="82" spans="11:14" x14ac:dyDescent="0.25">
      <c r="K82" s="1"/>
      <c r="L82" s="4"/>
      <c r="M82" s="4"/>
      <c r="N82" s="4"/>
    </row>
    <row r="83" spans="11:14" x14ac:dyDescent="0.25">
      <c r="K83" s="1"/>
      <c r="L83" s="4"/>
      <c r="M83" s="4"/>
      <c r="N83" s="4"/>
    </row>
    <row r="84" spans="11:14" x14ac:dyDescent="0.25">
      <c r="K84" s="1"/>
      <c r="L84" s="4"/>
      <c r="M84" s="4"/>
      <c r="N84" s="4"/>
    </row>
    <row r="85" spans="11:14" x14ac:dyDescent="0.25">
      <c r="K85" s="1"/>
      <c r="L85" s="4"/>
      <c r="M85" s="4"/>
      <c r="N85" s="4"/>
    </row>
    <row r="86" spans="11:14" x14ac:dyDescent="0.25">
      <c r="K86" s="1"/>
      <c r="L86" s="4"/>
      <c r="M86" s="4"/>
      <c r="N86" s="4"/>
    </row>
    <row r="87" spans="11:14" x14ac:dyDescent="0.25">
      <c r="K87" s="1"/>
      <c r="L87" s="4"/>
      <c r="M87" s="4"/>
      <c r="N87" s="4"/>
    </row>
    <row r="88" spans="11:14" x14ac:dyDescent="0.25">
      <c r="K88" s="1"/>
      <c r="L88" s="4"/>
      <c r="M88" s="4"/>
      <c r="N88" s="4"/>
    </row>
    <row r="89" spans="11:14" x14ac:dyDescent="0.25">
      <c r="K89" s="1"/>
      <c r="L89" s="4"/>
      <c r="M89" s="4"/>
      <c r="N89" s="4"/>
    </row>
    <row r="90" spans="11:14" x14ac:dyDescent="0.25">
      <c r="K90" s="1"/>
      <c r="L90" s="4"/>
      <c r="M90" s="4"/>
      <c r="N90" s="4"/>
    </row>
    <row r="91" spans="11:14" x14ac:dyDescent="0.25">
      <c r="K91" s="1"/>
      <c r="L91" s="4"/>
      <c r="M91" s="4"/>
      <c r="N91" s="4"/>
    </row>
    <row r="92" spans="11:14" x14ac:dyDescent="0.25">
      <c r="K92" s="1"/>
      <c r="L92" s="4"/>
      <c r="M92" s="4"/>
      <c r="N92" s="4"/>
    </row>
    <row r="93" spans="11:14" x14ac:dyDescent="0.25">
      <c r="K93" s="1"/>
      <c r="L93" s="4"/>
      <c r="M93" s="4"/>
      <c r="N93" s="4"/>
    </row>
    <row r="94" spans="11:14" x14ac:dyDescent="0.25">
      <c r="K94" s="1"/>
      <c r="L94" s="4"/>
      <c r="M94" s="4"/>
      <c r="N94" s="4"/>
    </row>
    <row r="95" spans="11:14" x14ac:dyDescent="0.25">
      <c r="K95" s="1"/>
      <c r="L95" s="4"/>
      <c r="M95" s="4"/>
      <c r="N95" s="4"/>
    </row>
    <row r="96" spans="11:14" x14ac:dyDescent="0.25">
      <c r="K96" s="1"/>
      <c r="L96" s="4"/>
      <c r="M96" s="4"/>
      <c r="N96" s="4"/>
    </row>
    <row r="97" spans="11:14" x14ac:dyDescent="0.25">
      <c r="K97" s="1"/>
      <c r="L97" s="4"/>
      <c r="M97" s="4"/>
      <c r="N97" s="4"/>
    </row>
    <row r="98" spans="11:14" x14ac:dyDescent="0.25">
      <c r="K98" s="1"/>
      <c r="L98" s="4"/>
      <c r="M98" s="4"/>
      <c r="N98" s="4"/>
    </row>
    <row r="99" spans="11:14" x14ac:dyDescent="0.25">
      <c r="K99" s="1"/>
      <c r="L99" s="4"/>
      <c r="M99" s="4"/>
      <c r="N99" s="4"/>
    </row>
    <row r="100" spans="11:14" x14ac:dyDescent="0.25">
      <c r="K100" s="1"/>
      <c r="L100" s="4"/>
      <c r="M100" s="4"/>
      <c r="N100" s="4"/>
    </row>
    <row r="101" spans="11:14" x14ac:dyDescent="0.25">
      <c r="K101" s="1"/>
      <c r="L101" s="4"/>
      <c r="M101" s="4"/>
      <c r="N10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BA77-2BDF-401C-A9A1-01D3AAF115BC}">
  <dimension ref="A1:Y101"/>
  <sheetViews>
    <sheetView workbookViewId="0">
      <selection activeCell="Q43" sqref="Q43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4.7109375" customWidth="1"/>
    <col min="4" max="4" width="21.85546875" style="3" bestFit="1" customWidth="1"/>
    <col min="5" max="5" width="13.7109375" bestFit="1" customWidth="1"/>
    <col min="6" max="6" width="8" customWidth="1"/>
    <col min="7" max="7" width="14.28515625" customWidth="1"/>
    <col min="8" max="8" width="11.140625" customWidth="1"/>
    <col min="9" max="10" width="14.28515625" customWidth="1"/>
    <col min="11" max="11" width="12.28515625" customWidth="1"/>
    <col min="12" max="13" width="13.28515625" style="3" customWidth="1"/>
    <col min="14" max="14" width="15.42578125" style="3" customWidth="1"/>
    <col min="15" max="15" width="11.7109375" customWidth="1"/>
    <col min="17" max="17" width="11.28515625" customWidth="1"/>
    <col min="18" max="18" width="2.28515625" customWidth="1"/>
    <col min="19" max="19" width="11.7109375" bestFit="1" customWidth="1"/>
    <col min="20" max="20" width="14.7109375" customWidth="1"/>
    <col min="21" max="21" width="2.28515625" customWidth="1"/>
    <col min="22" max="22" width="18.140625" customWidth="1"/>
    <col min="23" max="23" width="17.85546875" customWidth="1"/>
  </cols>
  <sheetData>
    <row r="1" spans="1:25" s="5" customFormat="1" ht="45" x14ac:dyDescent="0.25">
      <c r="A1" s="19" t="s">
        <v>134</v>
      </c>
      <c r="B1" s="20" t="s">
        <v>31</v>
      </c>
      <c r="C1" s="20" t="s">
        <v>116</v>
      </c>
      <c r="D1" s="20" t="s">
        <v>113</v>
      </c>
      <c r="E1" s="20" t="s">
        <v>30</v>
      </c>
      <c r="F1" s="20" t="s">
        <v>110</v>
      </c>
      <c r="G1" s="20" t="s">
        <v>109</v>
      </c>
      <c r="H1" s="20" t="s">
        <v>112</v>
      </c>
      <c r="I1" s="20" t="s">
        <v>111</v>
      </c>
      <c r="J1" s="20" t="s">
        <v>115</v>
      </c>
      <c r="K1" s="20" t="s">
        <v>136</v>
      </c>
      <c r="L1" s="20" t="s">
        <v>137</v>
      </c>
      <c r="M1" s="20" t="s">
        <v>138</v>
      </c>
      <c r="N1" s="20" t="s">
        <v>139</v>
      </c>
      <c r="O1" s="21" t="s">
        <v>2</v>
      </c>
      <c r="Q1" s="16" t="s">
        <v>49</v>
      </c>
      <c r="R1" s="13"/>
      <c r="S1" s="27" t="s">
        <v>31</v>
      </c>
      <c r="T1" s="25" t="s">
        <v>116</v>
      </c>
      <c r="U1" s="13"/>
      <c r="V1" s="13" t="s">
        <v>30</v>
      </c>
      <c r="W1" s="13" t="s">
        <v>114</v>
      </c>
      <c r="X1"/>
      <c r="Y1"/>
    </row>
    <row r="2" spans="1:25" x14ac:dyDescent="0.25">
      <c r="A2" t="s">
        <v>59</v>
      </c>
      <c r="B2" s="2" t="s">
        <v>35</v>
      </c>
      <c r="C2" t="str">
        <f>INDEX(Típusok2[],MATCH(Rendelések2[[#This Row],[Típus]],Típusok2[Típus],0),2)</f>
        <v>CT-102</v>
      </c>
      <c r="D2" s="14" t="str">
        <f>INDEX(Országok2[],MATCH(Rendelések2[[#This Row],[Célország]],Országok2[Célország],0),2)</f>
        <v>Yetta Ferrell</v>
      </c>
      <c r="E2" t="s">
        <v>25</v>
      </c>
      <c r="F2" s="11" t="str">
        <f>IF(Rendelések2[[#This Row],[Max. várakozási idő]]&lt;10,"!","")</f>
        <v/>
      </c>
      <c r="G2" s="9">
        <v>44499</v>
      </c>
      <c r="H2" s="10">
        <v>16</v>
      </c>
      <c r="I2" s="9">
        <f>Rendelések2[[#This Row],[Rendelés dátuma]]+minimum</f>
        <v>44504</v>
      </c>
      <c r="J2" s="9">
        <f>Rendelések2[[#This Row],[Rendelés dátuma]]+Rendelések2[[#This Row],[Max. várakozási idő]]</f>
        <v>44515</v>
      </c>
      <c r="K2" s="22">
        <v>13100</v>
      </c>
      <c r="L2" s="28">
        <v>10</v>
      </c>
      <c r="M2" s="22">
        <f>Rendelések2[[#This Row],[Egységár (euró)]]*Rendelések2[[#This Row],[Rendelt mennyiség]]</f>
        <v>131000</v>
      </c>
      <c r="N2" s="24">
        <f>Rendelések2[[#This Row],[Fizetendő (euró)]]*$Q$2</f>
        <v>47160000</v>
      </c>
      <c r="O2" s="7" t="s">
        <v>0</v>
      </c>
      <c r="Q2" s="18">
        <v>360</v>
      </c>
      <c r="R2" s="1"/>
      <c r="S2" s="6" t="s">
        <v>34</v>
      </c>
      <c r="T2" s="26" t="s">
        <v>117</v>
      </c>
      <c r="U2" s="1"/>
      <c r="V2" s="6" t="s">
        <v>3</v>
      </c>
      <c r="W2" s="6" t="s">
        <v>55</v>
      </c>
    </row>
    <row r="3" spans="1:25" x14ac:dyDescent="0.25">
      <c r="A3" t="s">
        <v>60</v>
      </c>
      <c r="B3" s="2" t="s">
        <v>40</v>
      </c>
      <c r="C3" t="str">
        <f>INDEX(Típusok2[],MATCH(Rendelések2[[#This Row],[Típus]],Típusok2[Típus],0),2)</f>
        <v>CT-107</v>
      </c>
      <c r="D3" s="14" t="str">
        <f>INDEX(Országok2[],MATCH(Rendelések2[[#This Row],[Célország]],Országok2[Célország],0),2)</f>
        <v>Brent Brennan</v>
      </c>
      <c r="E3" t="s">
        <v>7</v>
      </c>
      <c r="F3" s="12" t="str">
        <f>IF(Rendelések2[[#This Row],[Max. várakozási idő]]&lt;10,"!","")</f>
        <v/>
      </c>
      <c r="G3" s="9">
        <v>44112</v>
      </c>
      <c r="H3" s="10">
        <v>15</v>
      </c>
      <c r="I3" s="9">
        <f>Rendelések2[[#This Row],[Rendelés dátuma]]+minimum</f>
        <v>44117</v>
      </c>
      <c r="J3" s="9">
        <f>Rendelések2[[#This Row],[Rendelés dátuma]]+Rendelések2[[#This Row],[Max. várakozási idő]]</f>
        <v>44127</v>
      </c>
      <c r="K3" s="22">
        <v>14300</v>
      </c>
      <c r="L3" s="28">
        <v>14</v>
      </c>
      <c r="M3" s="22">
        <f>Rendelések2[[#This Row],[Egységár (euró)]]*Rendelések2[[#This Row],[Rendelt mennyiség]]</f>
        <v>200200</v>
      </c>
      <c r="N3" s="24">
        <f>Rendelések2[[#This Row],[Fizetendő (euró)]]*$Q$2</f>
        <v>72072000</v>
      </c>
      <c r="O3" s="7" t="s">
        <v>0</v>
      </c>
      <c r="S3" s="6" t="s">
        <v>35</v>
      </c>
      <c r="T3" s="26" t="s">
        <v>118</v>
      </c>
      <c r="V3" s="6" t="s">
        <v>4</v>
      </c>
      <c r="W3" s="6" t="s">
        <v>54</v>
      </c>
    </row>
    <row r="4" spans="1:25" x14ac:dyDescent="0.25">
      <c r="A4" t="s">
        <v>61</v>
      </c>
      <c r="B4" s="2" t="s">
        <v>37</v>
      </c>
      <c r="C4" t="str">
        <f>INDEX(Típusok2[],MATCH(Rendelések2[[#This Row],[Típus]],Típusok2[Típus],0),2)</f>
        <v>CT-110</v>
      </c>
      <c r="D4" s="14" t="str">
        <f>INDEX(Országok2[],MATCH(Rendelések2[[#This Row],[Célország]],Országok2[Célország],0),2)</f>
        <v>Sarah Meyers</v>
      </c>
      <c r="E4" t="s">
        <v>17</v>
      </c>
      <c r="F4" s="12" t="str">
        <f>IF(Rendelések2[[#This Row],[Max. várakozási idő]]&lt;10,"!","")</f>
        <v/>
      </c>
      <c r="G4" s="9">
        <v>44604</v>
      </c>
      <c r="H4" s="10">
        <v>20</v>
      </c>
      <c r="I4" s="9">
        <f>Rendelések2[[#This Row],[Rendelés dátuma]]+minimum</f>
        <v>44609</v>
      </c>
      <c r="J4" s="9">
        <f>Rendelések2[[#This Row],[Rendelés dátuma]]+Rendelések2[[#This Row],[Max. várakozási idő]]</f>
        <v>44624</v>
      </c>
      <c r="K4" s="22">
        <v>11900</v>
      </c>
      <c r="L4" s="28">
        <v>16</v>
      </c>
      <c r="M4" s="22">
        <f>Rendelések2[[#This Row],[Egységár (euró)]]*Rendelések2[[#This Row],[Rendelt mennyiség]]</f>
        <v>190400</v>
      </c>
      <c r="N4" s="24">
        <f>Rendelések2[[#This Row],[Fizetendő (euró)]]*$Q$2</f>
        <v>68544000</v>
      </c>
      <c r="O4" s="7" t="s">
        <v>1</v>
      </c>
      <c r="Q4" s="29" t="s">
        <v>135</v>
      </c>
      <c r="R4" s="17"/>
      <c r="S4" s="6" t="s">
        <v>43</v>
      </c>
      <c r="T4" s="26" t="s">
        <v>119</v>
      </c>
      <c r="U4" s="17"/>
      <c r="V4" s="6" t="s">
        <v>5</v>
      </c>
      <c r="W4" s="6" t="s">
        <v>50</v>
      </c>
    </row>
    <row r="5" spans="1:25" x14ac:dyDescent="0.25">
      <c r="A5" t="s">
        <v>62</v>
      </c>
      <c r="B5" s="2" t="s">
        <v>38</v>
      </c>
      <c r="C5" t="str">
        <f>INDEX(Típusok2[],MATCH(Rendelések2[[#This Row],[Típus]],Típusok2[Típus],0),2)</f>
        <v>CT-104</v>
      </c>
      <c r="D5" s="14" t="str">
        <f>INDEX(Országok2[],MATCH(Rendelések2[[#This Row],[Célország]],Országok2[Célország],0),2)</f>
        <v>Brent Brennan</v>
      </c>
      <c r="E5" t="s">
        <v>20</v>
      </c>
      <c r="F5" s="12" t="str">
        <f>IF(Rendelések2[[#This Row],[Max. várakozási idő]]&lt;10,"!","")</f>
        <v/>
      </c>
      <c r="G5" s="9">
        <v>44751</v>
      </c>
      <c r="H5" s="10">
        <v>15</v>
      </c>
      <c r="I5" s="9">
        <f>Rendelések2[[#This Row],[Rendelés dátuma]]+minimum</f>
        <v>44756</v>
      </c>
      <c r="J5" s="9">
        <f>Rendelések2[[#This Row],[Rendelés dátuma]]+Rendelések2[[#This Row],[Max. várakozási idő]]</f>
        <v>44766</v>
      </c>
      <c r="K5" s="22">
        <v>10100</v>
      </c>
      <c r="L5" s="28">
        <v>15</v>
      </c>
      <c r="M5" s="22">
        <f>Rendelések2[[#This Row],[Egységár (euró)]]*Rendelések2[[#This Row],[Rendelt mennyiség]]</f>
        <v>151500</v>
      </c>
      <c r="N5" s="24">
        <f>Rendelések2[[#This Row],[Fizetendő (euró)]]*$Q$2</f>
        <v>54540000</v>
      </c>
      <c r="O5" s="7" t="s">
        <v>0</v>
      </c>
      <c r="Q5" s="30">
        <v>5</v>
      </c>
      <c r="R5" s="15"/>
      <c r="S5" s="6" t="s">
        <v>38</v>
      </c>
      <c r="T5" s="26" t="s">
        <v>120</v>
      </c>
      <c r="U5" s="15"/>
      <c r="V5" s="6" t="s">
        <v>6</v>
      </c>
      <c r="W5" s="6" t="s">
        <v>56</v>
      </c>
    </row>
    <row r="6" spans="1:25" x14ac:dyDescent="0.25">
      <c r="A6" t="s">
        <v>63</v>
      </c>
      <c r="B6" s="2" t="s">
        <v>33</v>
      </c>
      <c r="C6" t="str">
        <f>INDEX(Típusok2[],MATCH(Rendelések2[[#This Row],[Típus]],Típusok2[Típus],0),2)</f>
        <v>CT-108</v>
      </c>
      <c r="D6" s="14" t="str">
        <f>INDEX(Országok2[],MATCH(Rendelések2[[#This Row],[Célország]],Országok2[Célország],0),2)</f>
        <v>Brent Brennan</v>
      </c>
      <c r="E6" t="s">
        <v>20</v>
      </c>
      <c r="F6" s="12" t="str">
        <f>IF(Rendelések2[[#This Row],[Max. várakozási idő]]&lt;10,"!","")</f>
        <v>!</v>
      </c>
      <c r="G6" s="9">
        <v>44657</v>
      </c>
      <c r="H6" s="10">
        <v>9</v>
      </c>
      <c r="I6" s="9">
        <f>Rendelések2[[#This Row],[Rendelés dátuma]]+minimum</f>
        <v>44662</v>
      </c>
      <c r="J6" s="9">
        <f>Rendelések2[[#This Row],[Rendelés dátuma]]+Rendelések2[[#This Row],[Max. várakozási idő]]</f>
        <v>44666</v>
      </c>
      <c r="K6" s="22">
        <v>13600</v>
      </c>
      <c r="L6" s="28">
        <v>15</v>
      </c>
      <c r="M6" s="22">
        <f>Rendelések2[[#This Row],[Egységár (euró)]]*Rendelések2[[#This Row],[Rendelt mennyiség]]</f>
        <v>204000</v>
      </c>
      <c r="N6" s="24">
        <f>Rendelések2[[#This Row],[Fizetendő (euró)]]*$Q$2</f>
        <v>73440000</v>
      </c>
      <c r="O6" s="7" t="s">
        <v>1</v>
      </c>
      <c r="S6" s="6" t="s">
        <v>47</v>
      </c>
      <c r="T6" s="26" t="s">
        <v>121</v>
      </c>
      <c r="V6" s="6" t="s">
        <v>7</v>
      </c>
      <c r="W6" s="6" t="s">
        <v>58</v>
      </c>
    </row>
    <row r="7" spans="1:25" x14ac:dyDescent="0.25">
      <c r="A7" t="s">
        <v>64</v>
      </c>
      <c r="B7" s="2" t="s">
        <v>38</v>
      </c>
      <c r="C7" t="str">
        <f>INDEX(Típusok2[],MATCH(Rendelések2[[#This Row],[Típus]],Típusok2[Típus],0),2)</f>
        <v>CT-104</v>
      </c>
      <c r="D7" s="14" t="str">
        <f>INDEX(Országok2[],MATCH(Rendelések2[[#This Row],[Célország]],Országok2[Célország],0),2)</f>
        <v>Colton Suarez</v>
      </c>
      <c r="E7" t="s">
        <v>26</v>
      </c>
      <c r="F7" s="12" t="str">
        <f>IF(Rendelések2[[#This Row],[Max. várakozási idő]]&lt;10,"!","")</f>
        <v/>
      </c>
      <c r="G7" s="9">
        <v>44106</v>
      </c>
      <c r="H7" s="10">
        <v>21</v>
      </c>
      <c r="I7" s="9">
        <f>Rendelések2[[#This Row],[Rendelés dátuma]]+minimum</f>
        <v>44111</v>
      </c>
      <c r="J7" s="9">
        <f>Rendelések2[[#This Row],[Rendelés dátuma]]+Rendelések2[[#This Row],[Max. várakozási idő]]</f>
        <v>44127</v>
      </c>
      <c r="K7" s="22">
        <v>9400</v>
      </c>
      <c r="L7" s="28">
        <v>10</v>
      </c>
      <c r="M7" s="22">
        <f>Rendelések2[[#This Row],[Egységár (euró)]]*Rendelések2[[#This Row],[Rendelt mennyiség]]</f>
        <v>94000</v>
      </c>
      <c r="N7" s="24">
        <f>Rendelések2[[#This Row],[Fizetendő (euró)]]*$Q$2</f>
        <v>33840000</v>
      </c>
      <c r="O7" s="7" t="s">
        <v>1</v>
      </c>
      <c r="Q7" s="9">
        <v>44561</v>
      </c>
      <c r="S7" s="6" t="s">
        <v>44</v>
      </c>
      <c r="T7" s="26" t="s">
        <v>122</v>
      </c>
      <c r="V7" s="6" t="s">
        <v>8</v>
      </c>
      <c r="W7" s="6" t="s">
        <v>53</v>
      </c>
    </row>
    <row r="8" spans="1:25" x14ac:dyDescent="0.25">
      <c r="A8" t="s">
        <v>65</v>
      </c>
      <c r="B8" s="2" t="s">
        <v>37</v>
      </c>
      <c r="C8" t="str">
        <f>INDEX(Típusok2[],MATCH(Rendelések2[[#This Row],[Típus]],Típusok2[Típus],0),2)</f>
        <v>CT-110</v>
      </c>
      <c r="D8" s="14" t="str">
        <f>INDEX(Országok2[],MATCH(Rendelések2[[#This Row],[Célország]],Országok2[Célország],0),2)</f>
        <v>Kelly Cook</v>
      </c>
      <c r="E8" t="s">
        <v>19</v>
      </c>
      <c r="F8" s="12" t="str">
        <f>IF(Rendelések2[[#This Row],[Max. várakozási idő]]&lt;10,"!","")</f>
        <v/>
      </c>
      <c r="G8" s="9">
        <v>44359</v>
      </c>
      <c r="H8" s="10">
        <v>19</v>
      </c>
      <c r="I8" s="9">
        <f>Rendelések2[[#This Row],[Rendelés dátuma]]+minimum</f>
        <v>44364</v>
      </c>
      <c r="J8" s="9">
        <f>Rendelések2[[#This Row],[Rendelés dátuma]]+Rendelések2[[#This Row],[Max. várakozási idő]]</f>
        <v>44378</v>
      </c>
      <c r="K8" s="22">
        <v>12500</v>
      </c>
      <c r="L8" s="28">
        <v>19</v>
      </c>
      <c r="M8" s="22">
        <f>Rendelések2[[#This Row],[Egységár (euró)]]*Rendelések2[[#This Row],[Rendelt mennyiség]]</f>
        <v>237500</v>
      </c>
      <c r="N8" s="24">
        <f>Rendelések2[[#This Row],[Fizetendő (euró)]]*$Q$2</f>
        <v>85500000</v>
      </c>
      <c r="O8" s="7" t="s">
        <v>1</v>
      </c>
      <c r="S8" s="6" t="s">
        <v>40</v>
      </c>
      <c r="T8" s="26" t="s">
        <v>123</v>
      </c>
      <c r="V8" s="6" t="s">
        <v>9</v>
      </c>
      <c r="W8" s="6" t="s">
        <v>54</v>
      </c>
    </row>
    <row r="9" spans="1:25" x14ac:dyDescent="0.25">
      <c r="A9" t="s">
        <v>66</v>
      </c>
      <c r="B9" s="2" t="s">
        <v>33</v>
      </c>
      <c r="C9" t="str">
        <f>INDEX(Típusok2[],MATCH(Rendelések2[[#This Row],[Típus]],Típusok2[Típus],0),2)</f>
        <v>CT-108</v>
      </c>
      <c r="D9" s="14" t="str">
        <f>INDEX(Országok2[],MATCH(Rendelések2[[#This Row],[Célország]],Országok2[Célország],0),2)</f>
        <v>Malcolm Klein</v>
      </c>
      <c r="E9" t="s">
        <v>3</v>
      </c>
      <c r="F9" s="12" t="str">
        <f>IF(Rendelések2[[#This Row],[Max. várakozási idő]]&lt;10,"!","")</f>
        <v/>
      </c>
      <c r="G9" s="9">
        <v>44490</v>
      </c>
      <c r="H9" s="10">
        <v>21</v>
      </c>
      <c r="I9" s="9">
        <f>Rendelések2[[#This Row],[Rendelés dátuma]]+minimum</f>
        <v>44495</v>
      </c>
      <c r="J9" s="9">
        <f>Rendelések2[[#This Row],[Rendelés dátuma]]+Rendelések2[[#This Row],[Max. várakozási idő]]</f>
        <v>44511</v>
      </c>
      <c r="K9" s="22">
        <v>13200</v>
      </c>
      <c r="L9" s="28">
        <v>10</v>
      </c>
      <c r="M9" s="22">
        <f>Rendelések2[[#This Row],[Egységár (euró)]]*Rendelések2[[#This Row],[Rendelt mennyiség]]</f>
        <v>132000</v>
      </c>
      <c r="N9" s="24">
        <f>Rendelések2[[#This Row],[Fizetendő (euró)]]*$Q$2</f>
        <v>47520000</v>
      </c>
      <c r="O9" s="7" t="s">
        <v>1</v>
      </c>
      <c r="S9" s="6" t="s">
        <v>33</v>
      </c>
      <c r="T9" s="26" t="s">
        <v>124</v>
      </c>
      <c r="V9" s="6" t="s">
        <v>10</v>
      </c>
      <c r="W9" s="6" t="s">
        <v>52</v>
      </c>
    </row>
    <row r="10" spans="1:25" x14ac:dyDescent="0.25">
      <c r="A10" t="s">
        <v>67</v>
      </c>
      <c r="B10" s="2" t="s">
        <v>33</v>
      </c>
      <c r="C10" t="str">
        <f>INDEX(Típusok2[],MATCH(Rendelések2[[#This Row],[Típus]],Típusok2[Típus],0),2)</f>
        <v>CT-108</v>
      </c>
      <c r="D10" s="14" t="str">
        <f>INDEX(Országok2[],MATCH(Rendelések2[[#This Row],[Célország]],Országok2[Célország],0),2)</f>
        <v>Brittany Francis</v>
      </c>
      <c r="E10" t="s">
        <v>6</v>
      </c>
      <c r="F10" s="12" t="str">
        <f>IF(Rendelések2[[#This Row],[Max. várakozási idő]]&lt;10,"!","")</f>
        <v>!</v>
      </c>
      <c r="G10" s="9">
        <v>44704</v>
      </c>
      <c r="H10" s="10">
        <v>9</v>
      </c>
      <c r="I10" s="9">
        <f>Rendelések2[[#This Row],[Rendelés dátuma]]+minimum</f>
        <v>44709</v>
      </c>
      <c r="J10" s="9">
        <f>Rendelések2[[#This Row],[Rendelés dátuma]]+Rendelések2[[#This Row],[Max. várakozási idő]]</f>
        <v>44713</v>
      </c>
      <c r="K10" s="22">
        <v>9200</v>
      </c>
      <c r="L10" s="28">
        <v>13</v>
      </c>
      <c r="M10" s="22">
        <f>Rendelések2[[#This Row],[Egységár (euró)]]*Rendelések2[[#This Row],[Rendelt mennyiség]]</f>
        <v>119600</v>
      </c>
      <c r="N10" s="24">
        <f>Rendelések2[[#This Row],[Fizetendő (euró)]]*$Q$2</f>
        <v>43056000</v>
      </c>
      <c r="O10" s="7" t="s">
        <v>0</v>
      </c>
      <c r="S10" s="6" t="s">
        <v>45</v>
      </c>
      <c r="T10" s="26" t="s">
        <v>125</v>
      </c>
      <c r="V10" s="6" t="s">
        <v>11</v>
      </c>
      <c r="W10" s="6" t="s">
        <v>52</v>
      </c>
    </row>
    <row r="11" spans="1:25" x14ac:dyDescent="0.25">
      <c r="A11" t="s">
        <v>68</v>
      </c>
      <c r="B11" s="2" t="s">
        <v>32</v>
      </c>
      <c r="C11" t="str">
        <f>INDEX(Típusok2[],MATCH(Rendelések2[[#This Row],[Típus]],Típusok2[Típus],0),2)</f>
        <v>CT-111</v>
      </c>
      <c r="D11" s="14" t="str">
        <f>INDEX(Országok2[],MATCH(Rendelések2[[#This Row],[Célország]],Országok2[Célország],0),2)</f>
        <v>Kelly Cook</v>
      </c>
      <c r="E11" t="s">
        <v>15</v>
      </c>
      <c r="F11" s="12" t="str">
        <f>IF(Rendelések2[[#This Row],[Max. várakozási idő]]&lt;10,"!","")</f>
        <v/>
      </c>
      <c r="G11" s="9">
        <v>44201</v>
      </c>
      <c r="H11" s="10">
        <v>26</v>
      </c>
      <c r="I11" s="9">
        <f>Rendelések2[[#This Row],[Rendelés dátuma]]+minimum</f>
        <v>44206</v>
      </c>
      <c r="J11" s="9">
        <f>Rendelések2[[#This Row],[Rendelés dátuma]]+Rendelések2[[#This Row],[Max. várakozási idő]]</f>
        <v>44227</v>
      </c>
      <c r="K11" s="22">
        <v>13300</v>
      </c>
      <c r="L11" s="28">
        <v>18</v>
      </c>
      <c r="M11" s="22">
        <f>Rendelések2[[#This Row],[Egységár (euró)]]*Rendelések2[[#This Row],[Rendelt mennyiség]]</f>
        <v>239400</v>
      </c>
      <c r="N11" s="24">
        <f>Rendelések2[[#This Row],[Fizetendő (euró)]]*$Q$2</f>
        <v>86184000</v>
      </c>
      <c r="O11" s="7" t="s">
        <v>0</v>
      </c>
      <c r="S11" s="6" t="s">
        <v>37</v>
      </c>
      <c r="T11" s="26" t="s">
        <v>126</v>
      </c>
      <c r="V11" s="6" t="s">
        <v>12</v>
      </c>
      <c r="W11" s="6" t="s">
        <v>51</v>
      </c>
    </row>
    <row r="12" spans="1:25" x14ac:dyDescent="0.25">
      <c r="A12" t="s">
        <v>69</v>
      </c>
      <c r="B12" s="2" t="s">
        <v>34</v>
      </c>
      <c r="C12" t="str">
        <f>INDEX(Típusok2[],MATCH(Rendelések2[[#This Row],[Típus]],Típusok2[Típus],0),2)</f>
        <v>CT-101</v>
      </c>
      <c r="D12" s="14" t="str">
        <f>INDEX(Országok2[],MATCH(Rendelések2[[#This Row],[Célország]],Országok2[Célország],0),2)</f>
        <v>Sarah Meyers</v>
      </c>
      <c r="E12" t="s">
        <v>10</v>
      </c>
      <c r="F12" s="12" t="str">
        <f>IF(Rendelések2[[#This Row],[Max. várakozási idő]]&lt;10,"!","")</f>
        <v/>
      </c>
      <c r="G12" s="9">
        <v>44690</v>
      </c>
      <c r="H12" s="10">
        <v>25</v>
      </c>
      <c r="I12" s="9">
        <f>Rendelések2[[#This Row],[Rendelés dátuma]]+minimum</f>
        <v>44695</v>
      </c>
      <c r="J12" s="9">
        <f>Rendelések2[[#This Row],[Rendelés dátuma]]+Rendelések2[[#This Row],[Max. várakozási idő]]</f>
        <v>44715</v>
      </c>
      <c r="K12" s="22">
        <v>14700</v>
      </c>
      <c r="L12" s="28">
        <v>11</v>
      </c>
      <c r="M12" s="22">
        <f>Rendelések2[[#This Row],[Egységár (euró)]]*Rendelések2[[#This Row],[Rendelt mennyiség]]</f>
        <v>161700</v>
      </c>
      <c r="N12" s="24">
        <f>Rendelések2[[#This Row],[Fizetendő (euró)]]*$Q$2</f>
        <v>58212000</v>
      </c>
      <c r="O12" s="7" t="s">
        <v>0</v>
      </c>
      <c r="S12" s="6" t="s">
        <v>32</v>
      </c>
      <c r="T12" s="26" t="s">
        <v>127</v>
      </c>
      <c r="V12" s="6" t="s">
        <v>13</v>
      </c>
      <c r="W12" s="6" t="s">
        <v>51</v>
      </c>
    </row>
    <row r="13" spans="1:25" x14ac:dyDescent="0.25">
      <c r="A13" t="s">
        <v>70</v>
      </c>
      <c r="B13" s="2" t="s">
        <v>43</v>
      </c>
      <c r="C13" t="str">
        <f>INDEX(Típusok2[],MATCH(Rendelések2[[#This Row],[Típus]],Típusok2[Típus],0),2)</f>
        <v>CT-103</v>
      </c>
      <c r="D13" s="14" t="str">
        <f>INDEX(Országok2[],MATCH(Rendelések2[[#This Row],[Célország]],Országok2[Célország],0),2)</f>
        <v>Yetta Ferrell</v>
      </c>
      <c r="E13" t="s">
        <v>5</v>
      </c>
      <c r="F13" s="12" t="str">
        <f>IF(Rendelések2[[#This Row],[Max. várakozási idő]]&lt;10,"!","")</f>
        <v/>
      </c>
      <c r="G13" s="9">
        <v>44074</v>
      </c>
      <c r="H13" s="10">
        <v>23</v>
      </c>
      <c r="I13" s="9">
        <f>Rendelések2[[#This Row],[Rendelés dátuma]]+minimum</f>
        <v>44079</v>
      </c>
      <c r="J13" s="9">
        <f>Rendelések2[[#This Row],[Rendelés dátuma]]+Rendelések2[[#This Row],[Max. várakozási idő]]</f>
        <v>44097</v>
      </c>
      <c r="K13" s="22">
        <v>12700</v>
      </c>
      <c r="L13" s="28">
        <v>12</v>
      </c>
      <c r="M13" s="22">
        <f>Rendelések2[[#This Row],[Egységár (euró)]]*Rendelések2[[#This Row],[Rendelt mennyiség]]</f>
        <v>152400</v>
      </c>
      <c r="N13" s="24">
        <f>Rendelések2[[#This Row],[Fizetendő (euró)]]*$Q$2</f>
        <v>54864000</v>
      </c>
      <c r="O13" s="7" t="s">
        <v>1</v>
      </c>
      <c r="S13" s="6" t="s">
        <v>48</v>
      </c>
      <c r="T13" s="26" t="s">
        <v>128</v>
      </c>
      <c r="V13" s="6" t="s">
        <v>14</v>
      </c>
      <c r="W13" s="6" t="s">
        <v>54</v>
      </c>
    </row>
    <row r="14" spans="1:25" x14ac:dyDescent="0.25">
      <c r="A14" t="s">
        <v>71</v>
      </c>
      <c r="B14" s="2" t="s">
        <v>32</v>
      </c>
      <c r="C14" t="str">
        <f>INDEX(Típusok2[],MATCH(Rendelések2[[#This Row],[Típus]],Típusok2[Típus],0),2)</f>
        <v>CT-111</v>
      </c>
      <c r="D14" s="14" t="str">
        <f>INDEX(Országok2[],MATCH(Rendelések2[[#This Row],[Célország]],Országok2[Célország],0),2)</f>
        <v>Yetta Ferrell</v>
      </c>
      <c r="E14" t="s">
        <v>25</v>
      </c>
      <c r="F14" s="12" t="str">
        <f>IF(Rendelések2[[#This Row],[Max. várakozási idő]]&lt;10,"!","")</f>
        <v/>
      </c>
      <c r="G14" s="9">
        <v>44237</v>
      </c>
      <c r="H14" s="10">
        <v>30</v>
      </c>
      <c r="I14" s="9">
        <f>Rendelések2[[#This Row],[Rendelés dátuma]]+minimum</f>
        <v>44242</v>
      </c>
      <c r="J14" s="9">
        <f>Rendelések2[[#This Row],[Rendelés dátuma]]+Rendelések2[[#This Row],[Max. várakozási idő]]</f>
        <v>44267</v>
      </c>
      <c r="K14" s="22">
        <v>13800</v>
      </c>
      <c r="L14" s="28">
        <v>16</v>
      </c>
      <c r="M14" s="22">
        <f>Rendelések2[[#This Row],[Egységár (euró)]]*Rendelések2[[#This Row],[Rendelt mennyiség]]</f>
        <v>220800</v>
      </c>
      <c r="N14" s="24">
        <f>Rendelések2[[#This Row],[Fizetendő (euró)]]*$Q$2</f>
        <v>79488000</v>
      </c>
      <c r="O14" s="7" t="s">
        <v>0</v>
      </c>
      <c r="S14" s="6" t="s">
        <v>42</v>
      </c>
      <c r="T14" s="26" t="s">
        <v>129</v>
      </c>
      <c r="V14" s="6" t="s">
        <v>15</v>
      </c>
      <c r="W14" s="6" t="s">
        <v>54</v>
      </c>
    </row>
    <row r="15" spans="1:25" x14ac:dyDescent="0.25">
      <c r="A15" t="s">
        <v>72</v>
      </c>
      <c r="B15" s="2" t="s">
        <v>41</v>
      </c>
      <c r="C15" t="str">
        <f>INDEX(Típusok2[],MATCH(Rendelések2[[#This Row],[Típus]],Típusok2[Típus],0),2)</f>
        <v>CT-117</v>
      </c>
      <c r="D15" s="14" t="str">
        <f>INDEX(Országok2[],MATCH(Rendelések2[[#This Row],[Célország]],Országok2[Célország],0),2)</f>
        <v>Sarah Meyers</v>
      </c>
      <c r="E15" t="s">
        <v>11</v>
      </c>
      <c r="F15" s="12" t="str">
        <f>IF(Rendelések2[[#This Row],[Max. várakozási idő]]&lt;10,"!","")</f>
        <v/>
      </c>
      <c r="G15" s="9">
        <v>44350</v>
      </c>
      <c r="H15" s="10">
        <v>11</v>
      </c>
      <c r="I15" s="9">
        <f>Rendelések2[[#This Row],[Rendelés dátuma]]+minimum</f>
        <v>44355</v>
      </c>
      <c r="J15" s="9">
        <f>Rendelések2[[#This Row],[Rendelés dátuma]]+Rendelések2[[#This Row],[Max. várakozási idő]]</f>
        <v>44361</v>
      </c>
      <c r="K15" s="22">
        <v>14300</v>
      </c>
      <c r="L15" s="28">
        <v>12</v>
      </c>
      <c r="M15" s="22">
        <f>Rendelések2[[#This Row],[Egységár (euró)]]*Rendelések2[[#This Row],[Rendelt mennyiség]]</f>
        <v>171600</v>
      </c>
      <c r="N15" s="24">
        <f>Rendelések2[[#This Row],[Fizetendő (euró)]]*$Q$2</f>
        <v>61776000</v>
      </c>
      <c r="O15" s="7" t="s">
        <v>1</v>
      </c>
      <c r="S15" s="6" t="s">
        <v>46</v>
      </c>
      <c r="T15" s="26" t="s">
        <v>130</v>
      </c>
      <c r="V15" s="6" t="s">
        <v>16</v>
      </c>
      <c r="W15" s="6" t="s">
        <v>58</v>
      </c>
    </row>
    <row r="16" spans="1:25" x14ac:dyDescent="0.25">
      <c r="A16" t="s">
        <v>73</v>
      </c>
      <c r="B16" s="2" t="s">
        <v>45</v>
      </c>
      <c r="C16" t="str">
        <f>INDEX(Típusok2[],MATCH(Rendelések2[[#This Row],[Típus]],Típusok2[Típus],0),2)</f>
        <v>CT-109</v>
      </c>
      <c r="D16" s="14" t="str">
        <f>INDEX(Országok2[],MATCH(Rendelések2[[#This Row],[Célország]],Országok2[Célország],0),2)</f>
        <v>Sierra Richardson</v>
      </c>
      <c r="E16" t="s">
        <v>23</v>
      </c>
      <c r="F16" s="12" t="str">
        <f>IF(Rendelések2[[#This Row],[Max. várakozási idő]]&lt;10,"!","")</f>
        <v/>
      </c>
      <c r="G16" s="9">
        <v>44262</v>
      </c>
      <c r="H16" s="10">
        <v>12</v>
      </c>
      <c r="I16" s="9">
        <f>Rendelések2[[#This Row],[Rendelés dátuma]]+minimum</f>
        <v>44267</v>
      </c>
      <c r="J16" s="9">
        <f>Rendelések2[[#This Row],[Rendelés dátuma]]+Rendelések2[[#This Row],[Max. várakozási idő]]</f>
        <v>44274</v>
      </c>
      <c r="K16" s="22">
        <v>8700</v>
      </c>
      <c r="L16" s="28">
        <v>15</v>
      </c>
      <c r="M16" s="22">
        <f>Rendelések2[[#This Row],[Egységár (euró)]]*Rendelések2[[#This Row],[Rendelt mennyiség]]</f>
        <v>130500</v>
      </c>
      <c r="N16" s="24">
        <f>Rendelések2[[#This Row],[Fizetendő (euró)]]*$Q$2</f>
        <v>46980000</v>
      </c>
      <c r="O16" s="7" t="s">
        <v>1</v>
      </c>
      <c r="S16" s="6" t="s">
        <v>36</v>
      </c>
      <c r="T16" s="26" t="s">
        <v>131</v>
      </c>
      <c r="V16" s="6" t="s">
        <v>17</v>
      </c>
      <c r="W16" s="6" t="s">
        <v>52</v>
      </c>
    </row>
    <row r="17" spans="1:23" x14ac:dyDescent="0.25">
      <c r="A17" t="s">
        <v>74</v>
      </c>
      <c r="B17" s="2" t="s">
        <v>38</v>
      </c>
      <c r="C17" t="str">
        <f>INDEX(Típusok2[],MATCH(Rendelések2[[#This Row],[Típus]],Típusok2[Típus],0),2)</f>
        <v>CT-104</v>
      </c>
      <c r="D17" s="14" t="str">
        <f>INDEX(Országok2[],MATCH(Rendelések2[[#This Row],[Célország]],Országok2[Célország],0),2)</f>
        <v>Sierra Richardson</v>
      </c>
      <c r="E17" t="s">
        <v>13</v>
      </c>
      <c r="F17" s="12" t="str">
        <f>IF(Rendelések2[[#This Row],[Max. várakozási idő]]&lt;10,"!","")</f>
        <v/>
      </c>
      <c r="G17" s="9">
        <v>44314</v>
      </c>
      <c r="H17" s="10">
        <v>10</v>
      </c>
      <c r="I17" s="9">
        <f>Rendelések2[[#This Row],[Rendelés dátuma]]+minimum</f>
        <v>44319</v>
      </c>
      <c r="J17" s="9">
        <f>Rendelések2[[#This Row],[Rendelés dátuma]]+Rendelések2[[#This Row],[Max. várakozási idő]]</f>
        <v>44324</v>
      </c>
      <c r="K17" s="22">
        <v>11800</v>
      </c>
      <c r="L17" s="28">
        <v>12</v>
      </c>
      <c r="M17" s="22">
        <f>Rendelések2[[#This Row],[Egységár (euró)]]*Rendelések2[[#This Row],[Rendelt mennyiség]]</f>
        <v>141600</v>
      </c>
      <c r="N17" s="24">
        <f>Rendelések2[[#This Row],[Fizetendő (euró)]]*$Q$2</f>
        <v>50976000</v>
      </c>
      <c r="O17" s="7" t="s">
        <v>0</v>
      </c>
      <c r="S17" s="6" t="s">
        <v>39</v>
      </c>
      <c r="T17" s="26" t="s">
        <v>132</v>
      </c>
      <c r="V17" s="6" t="s">
        <v>18</v>
      </c>
      <c r="W17" s="6" t="s">
        <v>52</v>
      </c>
    </row>
    <row r="18" spans="1:23" x14ac:dyDescent="0.25">
      <c r="A18" t="s">
        <v>75</v>
      </c>
      <c r="B18" s="2" t="s">
        <v>32</v>
      </c>
      <c r="C18" t="str">
        <f>INDEX(Típusok2[],MATCH(Rendelések2[[#This Row],[Típus]],Típusok2[Típus],0),2)</f>
        <v>CT-111</v>
      </c>
      <c r="D18" s="14" t="str">
        <f>INDEX(Országok2[],MATCH(Rendelések2[[#This Row],[Célország]],Országok2[Célország],0),2)</f>
        <v>Sarah Meyers</v>
      </c>
      <c r="E18" t="s">
        <v>18</v>
      </c>
      <c r="F18" s="12" t="str">
        <f>IF(Rendelések2[[#This Row],[Max. várakozási idő]]&lt;10,"!","")</f>
        <v/>
      </c>
      <c r="G18" s="9">
        <v>44218</v>
      </c>
      <c r="H18" s="10">
        <v>12</v>
      </c>
      <c r="I18" s="9">
        <f>Rendelések2[[#This Row],[Rendelés dátuma]]+minimum</f>
        <v>44223</v>
      </c>
      <c r="J18" s="9">
        <f>Rendelések2[[#This Row],[Rendelés dátuma]]+Rendelések2[[#This Row],[Max. várakozási idő]]</f>
        <v>44230</v>
      </c>
      <c r="K18" s="22">
        <v>14100</v>
      </c>
      <c r="L18" s="28">
        <v>15</v>
      </c>
      <c r="M18" s="22">
        <f>Rendelések2[[#This Row],[Egységár (euró)]]*Rendelések2[[#This Row],[Rendelt mennyiség]]</f>
        <v>211500</v>
      </c>
      <c r="N18" s="24">
        <f>Rendelések2[[#This Row],[Fizetendő (euró)]]*$Q$2</f>
        <v>76140000</v>
      </c>
      <c r="O18" s="7" t="s">
        <v>0</v>
      </c>
      <c r="S18" s="6" t="s">
        <v>41</v>
      </c>
      <c r="T18" s="26" t="s">
        <v>133</v>
      </c>
      <c r="V18" s="6" t="s">
        <v>19</v>
      </c>
      <c r="W18" s="6" t="s">
        <v>54</v>
      </c>
    </row>
    <row r="19" spans="1:23" x14ac:dyDescent="0.25">
      <c r="A19" t="s">
        <v>76</v>
      </c>
      <c r="B19" s="2" t="s">
        <v>38</v>
      </c>
      <c r="C19" t="str">
        <f>INDEX(Típusok2[],MATCH(Rendelések2[[#This Row],[Típus]],Típusok2[Típus],0),2)</f>
        <v>CT-104</v>
      </c>
      <c r="D19" s="14" t="str">
        <f>INDEX(Országok2[],MATCH(Rendelések2[[#This Row],[Célország]],Országok2[Célország],0),2)</f>
        <v>Sierra Richardson</v>
      </c>
      <c r="E19" t="s">
        <v>12</v>
      </c>
      <c r="F19" s="12" t="str">
        <f>IF(Rendelések2[[#This Row],[Max. várakozási idő]]&lt;10,"!","")</f>
        <v/>
      </c>
      <c r="G19" s="9">
        <v>44565</v>
      </c>
      <c r="H19" s="10">
        <v>16</v>
      </c>
      <c r="I19" s="9">
        <f>Rendelések2[[#This Row],[Rendelés dátuma]]+minimum</f>
        <v>44570</v>
      </c>
      <c r="J19" s="9">
        <f>Rendelések2[[#This Row],[Rendelés dátuma]]+Rendelések2[[#This Row],[Max. várakozási idő]]</f>
        <v>44581</v>
      </c>
      <c r="K19" s="22">
        <v>13700</v>
      </c>
      <c r="L19" s="28">
        <v>20</v>
      </c>
      <c r="M19" s="22">
        <f>Rendelések2[[#This Row],[Egységár (euró)]]*Rendelések2[[#This Row],[Rendelt mennyiség]]</f>
        <v>274000</v>
      </c>
      <c r="N19" s="24">
        <f>Rendelések2[[#This Row],[Fizetendő (euró)]]*$Q$2</f>
        <v>98640000</v>
      </c>
      <c r="O19" s="7" t="s">
        <v>0</v>
      </c>
      <c r="V19" s="6" t="s">
        <v>20</v>
      </c>
      <c r="W19" s="6" t="s">
        <v>58</v>
      </c>
    </row>
    <row r="20" spans="1:23" x14ac:dyDescent="0.25">
      <c r="A20" t="s">
        <v>77</v>
      </c>
      <c r="B20" s="2" t="s">
        <v>44</v>
      </c>
      <c r="C20" t="str">
        <f>INDEX(Típusok2[],MATCH(Rendelések2[[#This Row],[Típus]],Típusok2[Típus],0),2)</f>
        <v>CT-106</v>
      </c>
      <c r="D20" s="14" t="str">
        <f>INDEX(Országok2[],MATCH(Rendelések2[[#This Row],[Célország]],Országok2[Célország],0),2)</f>
        <v>Colton Suarez</v>
      </c>
      <c r="E20" t="s">
        <v>24</v>
      </c>
      <c r="F20" s="12" t="str">
        <f>IF(Rendelések2[[#This Row],[Max. várakozási idő]]&lt;10,"!","")</f>
        <v/>
      </c>
      <c r="G20" s="9">
        <v>44580</v>
      </c>
      <c r="H20" s="10">
        <v>10</v>
      </c>
      <c r="I20" s="9">
        <f>Rendelések2[[#This Row],[Rendelés dátuma]]+minimum</f>
        <v>44585</v>
      </c>
      <c r="J20" s="9">
        <f>Rendelések2[[#This Row],[Rendelés dátuma]]+Rendelések2[[#This Row],[Max. várakozási idő]]</f>
        <v>44590</v>
      </c>
      <c r="K20" s="22">
        <v>13700</v>
      </c>
      <c r="L20" s="28">
        <v>20</v>
      </c>
      <c r="M20" s="22">
        <f>Rendelések2[[#This Row],[Egységár (euró)]]*Rendelések2[[#This Row],[Rendelt mennyiség]]</f>
        <v>274000</v>
      </c>
      <c r="N20" s="24">
        <f>Rendelések2[[#This Row],[Fizetendő (euró)]]*$Q$2</f>
        <v>98640000</v>
      </c>
      <c r="O20" s="7" t="s">
        <v>1</v>
      </c>
      <c r="V20" s="6" t="s">
        <v>21</v>
      </c>
      <c r="W20" s="6" t="s">
        <v>51</v>
      </c>
    </row>
    <row r="21" spans="1:23" x14ac:dyDescent="0.25">
      <c r="A21" t="s">
        <v>78</v>
      </c>
      <c r="B21" s="2" t="s">
        <v>41</v>
      </c>
      <c r="C21" t="str">
        <f>INDEX(Típusok2[],MATCH(Rendelések2[[#This Row],[Típus]],Típusok2[Típus],0),2)</f>
        <v>CT-117</v>
      </c>
      <c r="D21" s="14" t="str">
        <f>INDEX(Országok2[],MATCH(Rendelések2[[#This Row],[Célország]],Országok2[Célország],0),2)</f>
        <v>Brent Brennan</v>
      </c>
      <c r="E21" t="s">
        <v>7</v>
      </c>
      <c r="F21" s="12" t="str">
        <f>IF(Rendelések2[[#This Row],[Max. várakozási idő]]&lt;10,"!","")</f>
        <v/>
      </c>
      <c r="G21" s="9">
        <v>44331</v>
      </c>
      <c r="H21" s="10">
        <v>16</v>
      </c>
      <c r="I21" s="9">
        <f>Rendelések2[[#This Row],[Rendelés dátuma]]+minimum</f>
        <v>44336</v>
      </c>
      <c r="J21" s="9">
        <f>Rendelések2[[#This Row],[Rendelés dátuma]]+Rendelések2[[#This Row],[Max. várakozási idő]]</f>
        <v>44347</v>
      </c>
      <c r="K21" s="22">
        <v>14200</v>
      </c>
      <c r="L21" s="28">
        <v>15</v>
      </c>
      <c r="M21" s="22">
        <f>Rendelések2[[#This Row],[Egységár (euró)]]*Rendelések2[[#This Row],[Rendelt mennyiség]]</f>
        <v>213000</v>
      </c>
      <c r="N21" s="24">
        <f>Rendelések2[[#This Row],[Fizetendő (euró)]]*$Q$2</f>
        <v>76680000</v>
      </c>
      <c r="O21" s="7" t="s">
        <v>0</v>
      </c>
      <c r="V21" s="6" t="s">
        <v>22</v>
      </c>
      <c r="W21" s="6" t="s">
        <v>55</v>
      </c>
    </row>
    <row r="22" spans="1:23" x14ac:dyDescent="0.25">
      <c r="A22" t="s">
        <v>79</v>
      </c>
      <c r="B22" s="2" t="s">
        <v>42</v>
      </c>
      <c r="C22" t="str">
        <f>INDEX(Típusok2[],MATCH(Rendelések2[[#This Row],[Típus]],Típusok2[Típus],0),2)</f>
        <v>CT-113</v>
      </c>
      <c r="D22" s="14" t="str">
        <f>INDEX(Országok2[],MATCH(Rendelések2[[#This Row],[Célország]],Országok2[Célország],0),2)</f>
        <v>Kelly Cook</v>
      </c>
      <c r="E22" t="s">
        <v>19</v>
      </c>
      <c r="F22" s="12" t="str">
        <f>IF(Rendelések2[[#This Row],[Max. várakozási idő]]&lt;10,"!","")</f>
        <v/>
      </c>
      <c r="G22" s="9">
        <v>44442</v>
      </c>
      <c r="H22" s="10">
        <v>12</v>
      </c>
      <c r="I22" s="9">
        <f>Rendelések2[[#This Row],[Rendelés dátuma]]+minimum</f>
        <v>44447</v>
      </c>
      <c r="J22" s="9">
        <f>Rendelések2[[#This Row],[Rendelés dátuma]]+Rendelések2[[#This Row],[Max. várakozási idő]]</f>
        <v>44454</v>
      </c>
      <c r="K22" s="22">
        <v>13700</v>
      </c>
      <c r="L22" s="28">
        <v>13</v>
      </c>
      <c r="M22" s="22">
        <f>Rendelések2[[#This Row],[Egységár (euró)]]*Rendelések2[[#This Row],[Rendelt mennyiség]]</f>
        <v>178100</v>
      </c>
      <c r="N22" s="24">
        <f>Rendelések2[[#This Row],[Fizetendő (euró)]]*$Q$2</f>
        <v>64116000</v>
      </c>
      <c r="O22" s="7" t="s">
        <v>0</v>
      </c>
      <c r="V22" s="6" t="s">
        <v>23</v>
      </c>
      <c r="W22" s="6" t="s">
        <v>51</v>
      </c>
    </row>
    <row r="23" spans="1:23" x14ac:dyDescent="0.25">
      <c r="A23" t="s">
        <v>80</v>
      </c>
      <c r="B23" s="2" t="s">
        <v>42</v>
      </c>
      <c r="C23" t="str">
        <f>INDEX(Típusok2[],MATCH(Rendelések2[[#This Row],[Típus]],Típusok2[Típus],0),2)</f>
        <v>CT-113</v>
      </c>
      <c r="D23" s="14" t="str">
        <f>INDEX(Országok2[],MATCH(Rendelések2[[#This Row],[Célország]],Országok2[Célország],0),2)</f>
        <v>Malcolm Klein</v>
      </c>
      <c r="E23" t="s">
        <v>22</v>
      </c>
      <c r="F23" s="12" t="str">
        <f>IF(Rendelések2[[#This Row],[Max. várakozási idő]]&lt;10,"!","")</f>
        <v/>
      </c>
      <c r="G23" s="9">
        <v>44358</v>
      </c>
      <c r="H23" s="10">
        <v>16</v>
      </c>
      <c r="I23" s="9">
        <f>Rendelések2[[#This Row],[Rendelés dátuma]]+minimum</f>
        <v>44363</v>
      </c>
      <c r="J23" s="9">
        <f>Rendelések2[[#This Row],[Rendelés dátuma]]+Rendelések2[[#This Row],[Max. várakozási idő]]</f>
        <v>44374</v>
      </c>
      <c r="K23" s="22">
        <v>9200</v>
      </c>
      <c r="L23" s="28">
        <v>16</v>
      </c>
      <c r="M23" s="22">
        <f>Rendelések2[[#This Row],[Egységár (euró)]]*Rendelések2[[#This Row],[Rendelt mennyiség]]</f>
        <v>147200</v>
      </c>
      <c r="N23" s="24">
        <f>Rendelések2[[#This Row],[Fizetendő (euró)]]*$Q$2</f>
        <v>52992000</v>
      </c>
      <c r="O23" s="7" t="s">
        <v>1</v>
      </c>
      <c r="V23" s="6" t="s">
        <v>24</v>
      </c>
      <c r="W23" s="6" t="s">
        <v>57</v>
      </c>
    </row>
    <row r="24" spans="1:23" x14ac:dyDescent="0.25">
      <c r="A24" t="s">
        <v>81</v>
      </c>
      <c r="B24" s="2" t="s">
        <v>48</v>
      </c>
      <c r="C24" t="str">
        <f>INDEX(Típusok2[],MATCH(Rendelések2[[#This Row],[Típus]],Típusok2[Típus],0),2)</f>
        <v>CT-112</v>
      </c>
      <c r="D24" s="14" t="str">
        <f>INDEX(Országok2[],MATCH(Rendelések2[[#This Row],[Célország]],Országok2[Célország],0),2)</f>
        <v>Brent Brennan</v>
      </c>
      <c r="E24" t="s">
        <v>7</v>
      </c>
      <c r="F24" s="12" t="str">
        <f>IF(Rendelések2[[#This Row],[Max. várakozási idő]]&lt;10,"!","")</f>
        <v/>
      </c>
      <c r="G24" s="9">
        <v>44398</v>
      </c>
      <c r="H24" s="10">
        <v>20</v>
      </c>
      <c r="I24" s="9">
        <f>Rendelések2[[#This Row],[Rendelés dátuma]]+minimum</f>
        <v>44403</v>
      </c>
      <c r="J24" s="9">
        <f>Rendelések2[[#This Row],[Rendelés dátuma]]+Rendelések2[[#This Row],[Max. várakozási idő]]</f>
        <v>44418</v>
      </c>
      <c r="K24" s="22">
        <v>13300</v>
      </c>
      <c r="L24" s="28">
        <v>16</v>
      </c>
      <c r="M24" s="22">
        <f>Rendelések2[[#This Row],[Egységár (euró)]]*Rendelések2[[#This Row],[Rendelt mennyiség]]</f>
        <v>212800</v>
      </c>
      <c r="N24" s="24">
        <f>Rendelések2[[#This Row],[Fizetendő (euró)]]*$Q$2</f>
        <v>76608000</v>
      </c>
      <c r="O24" s="7" t="s">
        <v>0</v>
      </c>
      <c r="V24" s="6" t="s">
        <v>25</v>
      </c>
      <c r="W24" s="6" t="s">
        <v>50</v>
      </c>
    </row>
    <row r="25" spans="1:23" x14ac:dyDescent="0.25">
      <c r="A25" t="s">
        <v>82</v>
      </c>
      <c r="B25" s="2" t="s">
        <v>41</v>
      </c>
      <c r="C25" t="str">
        <f>INDEX(Típusok2[],MATCH(Rendelések2[[#This Row],[Típus]],Típusok2[Típus],0),2)</f>
        <v>CT-117</v>
      </c>
      <c r="D25" s="14" t="str">
        <f>INDEX(Országok2[],MATCH(Rendelések2[[#This Row],[Célország]],Országok2[Célország],0),2)</f>
        <v>Sarah Meyers</v>
      </c>
      <c r="E25" t="s">
        <v>18</v>
      </c>
      <c r="F25" s="12" t="str">
        <f>IF(Rendelések2[[#This Row],[Max. várakozási idő]]&lt;10,"!","")</f>
        <v/>
      </c>
      <c r="G25" s="9">
        <v>44074</v>
      </c>
      <c r="H25" s="10">
        <v>13</v>
      </c>
      <c r="I25" s="9">
        <f>Rendelések2[[#This Row],[Rendelés dátuma]]+minimum</f>
        <v>44079</v>
      </c>
      <c r="J25" s="9">
        <f>Rendelések2[[#This Row],[Rendelés dátuma]]+Rendelések2[[#This Row],[Max. várakozási idő]]</f>
        <v>44087</v>
      </c>
      <c r="K25" s="22">
        <v>9000</v>
      </c>
      <c r="L25" s="28">
        <v>12</v>
      </c>
      <c r="M25" s="22">
        <f>Rendelések2[[#This Row],[Egységár (euró)]]*Rendelések2[[#This Row],[Rendelt mennyiség]]</f>
        <v>108000</v>
      </c>
      <c r="N25" s="24">
        <f>Rendelések2[[#This Row],[Fizetendő (euró)]]*$Q$2</f>
        <v>38880000</v>
      </c>
      <c r="O25" s="7" t="s">
        <v>1</v>
      </c>
      <c r="V25" s="6" t="s">
        <v>26</v>
      </c>
      <c r="W25" s="6" t="s">
        <v>57</v>
      </c>
    </row>
    <row r="26" spans="1:23" x14ac:dyDescent="0.25">
      <c r="A26" t="s">
        <v>83</v>
      </c>
      <c r="B26" s="2" t="s">
        <v>48</v>
      </c>
      <c r="C26" t="str">
        <f>INDEX(Típusok2[],MATCH(Rendelések2[[#This Row],[Típus]],Típusok2[Típus],0),2)</f>
        <v>CT-112</v>
      </c>
      <c r="D26" s="14" t="str">
        <f>INDEX(Országok2[],MATCH(Rendelések2[[#This Row],[Célország]],Országok2[Célország],0),2)</f>
        <v>Lars Cobb</v>
      </c>
      <c r="E26" t="s">
        <v>8</v>
      </c>
      <c r="F26" s="12" t="str">
        <f>IF(Rendelések2[[#This Row],[Max. várakozási idő]]&lt;10,"!","")</f>
        <v/>
      </c>
      <c r="G26" s="9">
        <v>44145</v>
      </c>
      <c r="H26" s="10">
        <v>24</v>
      </c>
      <c r="I26" s="9">
        <f>Rendelések2[[#This Row],[Rendelés dátuma]]+minimum</f>
        <v>44150</v>
      </c>
      <c r="J26" s="9">
        <f>Rendelések2[[#This Row],[Rendelés dátuma]]+Rendelések2[[#This Row],[Max. várakozási idő]]</f>
        <v>44169</v>
      </c>
      <c r="K26" s="22">
        <v>12300</v>
      </c>
      <c r="L26" s="28">
        <v>14</v>
      </c>
      <c r="M26" s="22">
        <f>Rendelések2[[#This Row],[Egységár (euró)]]*Rendelések2[[#This Row],[Rendelt mennyiség]]</f>
        <v>172200</v>
      </c>
      <c r="N26" s="24">
        <f>Rendelések2[[#This Row],[Fizetendő (euró)]]*$Q$2</f>
        <v>61992000</v>
      </c>
      <c r="O26" s="7" t="s">
        <v>0</v>
      </c>
      <c r="V26" s="6" t="s">
        <v>27</v>
      </c>
      <c r="W26" s="6" t="s">
        <v>53</v>
      </c>
    </row>
    <row r="27" spans="1:23" x14ac:dyDescent="0.25">
      <c r="A27" t="s">
        <v>84</v>
      </c>
      <c r="B27" s="2" t="s">
        <v>42</v>
      </c>
      <c r="C27" t="str">
        <f>INDEX(Típusok2[],MATCH(Rendelések2[[#This Row],[Típus]],Típusok2[Típus],0),2)</f>
        <v>CT-113</v>
      </c>
      <c r="D27" s="14" t="str">
        <f>INDEX(Országok2[],MATCH(Rendelések2[[#This Row],[Célország]],Országok2[Célország],0),2)</f>
        <v>Kelly Cook</v>
      </c>
      <c r="E27" t="s">
        <v>4</v>
      </c>
      <c r="F27" s="12" t="str">
        <f>IF(Rendelések2[[#This Row],[Max. várakozási idő]]&lt;10,"!","")</f>
        <v/>
      </c>
      <c r="G27" s="9">
        <v>44090</v>
      </c>
      <c r="H27" s="10">
        <v>30</v>
      </c>
      <c r="I27" s="9">
        <f>Rendelések2[[#This Row],[Rendelés dátuma]]+minimum</f>
        <v>44095</v>
      </c>
      <c r="J27" s="9">
        <f>Rendelések2[[#This Row],[Rendelés dátuma]]+Rendelések2[[#This Row],[Max. várakozási idő]]</f>
        <v>44120</v>
      </c>
      <c r="K27" s="22">
        <v>10300</v>
      </c>
      <c r="L27" s="28">
        <v>12</v>
      </c>
      <c r="M27" s="22">
        <f>Rendelések2[[#This Row],[Egységár (euró)]]*Rendelések2[[#This Row],[Rendelt mennyiség]]</f>
        <v>123600</v>
      </c>
      <c r="N27" s="24">
        <f>Rendelések2[[#This Row],[Fizetendő (euró)]]*$Q$2</f>
        <v>44496000</v>
      </c>
      <c r="O27" s="7" t="s">
        <v>0</v>
      </c>
      <c r="V27" s="6" t="s">
        <v>28</v>
      </c>
      <c r="W27" s="6" t="s">
        <v>58</v>
      </c>
    </row>
    <row r="28" spans="1:23" x14ac:dyDescent="0.25">
      <c r="A28" t="s">
        <v>85</v>
      </c>
      <c r="B28" s="2" t="s">
        <v>47</v>
      </c>
      <c r="C28" t="str">
        <f>INDEX(Típusok2[],MATCH(Rendelések2[[#This Row],[Típus]],Típusok2[Típus],0),2)</f>
        <v>CT-105</v>
      </c>
      <c r="D28" s="14" t="str">
        <f>INDEX(Országok2[],MATCH(Rendelések2[[#This Row],[Célország]],Országok2[Célország],0),2)</f>
        <v>Lars Cobb</v>
      </c>
      <c r="E28" t="s">
        <v>8</v>
      </c>
      <c r="F28" s="12" t="str">
        <f>IF(Rendelések2[[#This Row],[Max. várakozási idő]]&lt;10,"!","")</f>
        <v/>
      </c>
      <c r="G28" s="9">
        <v>44509</v>
      </c>
      <c r="H28" s="10">
        <v>16</v>
      </c>
      <c r="I28" s="9">
        <f>Rendelések2[[#This Row],[Rendelés dátuma]]+minimum</f>
        <v>44514</v>
      </c>
      <c r="J28" s="9">
        <f>Rendelések2[[#This Row],[Rendelés dátuma]]+Rendelések2[[#This Row],[Max. várakozási idő]]</f>
        <v>44525</v>
      </c>
      <c r="K28" s="22">
        <v>14100</v>
      </c>
      <c r="L28" s="28">
        <v>14</v>
      </c>
      <c r="M28" s="22">
        <f>Rendelések2[[#This Row],[Egységár (euró)]]*Rendelések2[[#This Row],[Rendelt mennyiség]]</f>
        <v>197400</v>
      </c>
      <c r="N28" s="24">
        <f>Rendelések2[[#This Row],[Fizetendő (euró)]]*$Q$2</f>
        <v>71064000</v>
      </c>
      <c r="O28" s="7" t="s">
        <v>0</v>
      </c>
      <c r="V28" s="6" t="s">
        <v>29</v>
      </c>
      <c r="W28" s="6" t="s">
        <v>50</v>
      </c>
    </row>
    <row r="29" spans="1:23" x14ac:dyDescent="0.25">
      <c r="A29" t="s">
        <v>86</v>
      </c>
      <c r="B29" s="2" t="s">
        <v>39</v>
      </c>
      <c r="C29" t="str">
        <f>INDEX(Típusok2[],MATCH(Rendelések2[[#This Row],[Típus]],Típusok2[Típus],0),2)</f>
        <v>CT-116</v>
      </c>
      <c r="D29" s="14" t="str">
        <f>INDEX(Országok2[],MATCH(Rendelések2[[#This Row],[Célország]],Országok2[Célország],0),2)</f>
        <v>Malcolm Klein</v>
      </c>
      <c r="E29" t="s">
        <v>3</v>
      </c>
      <c r="F29" s="12" t="str">
        <f>IF(Rendelések2[[#This Row],[Max. várakozási idő]]&lt;10,"!","")</f>
        <v/>
      </c>
      <c r="G29" s="9">
        <v>44109</v>
      </c>
      <c r="H29" s="10">
        <v>12</v>
      </c>
      <c r="I29" s="9">
        <f>Rendelések2[[#This Row],[Rendelés dátuma]]+minimum</f>
        <v>44114</v>
      </c>
      <c r="J29" s="9">
        <f>Rendelések2[[#This Row],[Rendelés dátuma]]+Rendelések2[[#This Row],[Max. várakozási idő]]</f>
        <v>44121</v>
      </c>
      <c r="K29" s="22">
        <v>11100</v>
      </c>
      <c r="L29" s="28">
        <v>16</v>
      </c>
      <c r="M29" s="22">
        <f>Rendelések2[[#This Row],[Egységár (euró)]]*Rendelések2[[#This Row],[Rendelt mennyiség]]</f>
        <v>177600</v>
      </c>
      <c r="N29" s="24">
        <f>Rendelések2[[#This Row],[Fizetendő (euró)]]*$Q$2</f>
        <v>63936000</v>
      </c>
      <c r="O29" s="7" t="s">
        <v>0</v>
      </c>
    </row>
    <row r="30" spans="1:23" x14ac:dyDescent="0.25">
      <c r="A30" t="s">
        <v>87</v>
      </c>
      <c r="B30" s="2" t="s">
        <v>45</v>
      </c>
      <c r="C30" t="str">
        <f>INDEX(Típusok2[],MATCH(Rendelések2[[#This Row],[Típus]],Típusok2[Típus],0),2)</f>
        <v>CT-109</v>
      </c>
      <c r="D30" s="14" t="str">
        <f>INDEX(Országok2[],MATCH(Rendelések2[[#This Row],[Célország]],Országok2[Célország],0),2)</f>
        <v>Kelly Cook</v>
      </c>
      <c r="E30" t="s">
        <v>14</v>
      </c>
      <c r="F30" s="12" t="str">
        <f>IF(Rendelések2[[#This Row],[Max. várakozási idő]]&lt;10,"!","")</f>
        <v/>
      </c>
      <c r="G30" s="9">
        <v>44372</v>
      </c>
      <c r="H30" s="10">
        <v>10</v>
      </c>
      <c r="I30" s="9">
        <f>Rendelések2[[#This Row],[Rendelés dátuma]]+minimum</f>
        <v>44377</v>
      </c>
      <c r="J30" s="9">
        <f>Rendelések2[[#This Row],[Rendelés dátuma]]+Rendelések2[[#This Row],[Max. várakozási idő]]</f>
        <v>44382</v>
      </c>
      <c r="K30" s="22">
        <v>9700</v>
      </c>
      <c r="L30" s="28">
        <v>10</v>
      </c>
      <c r="M30" s="22">
        <f>Rendelések2[[#This Row],[Egységár (euró)]]*Rendelések2[[#This Row],[Rendelt mennyiség]]</f>
        <v>97000</v>
      </c>
      <c r="N30" s="24">
        <f>Rendelések2[[#This Row],[Fizetendő (euró)]]*$Q$2</f>
        <v>34920000</v>
      </c>
      <c r="O30" s="7" t="s">
        <v>1</v>
      </c>
    </row>
    <row r="31" spans="1:23" x14ac:dyDescent="0.25">
      <c r="A31" t="s">
        <v>88</v>
      </c>
      <c r="B31" s="2" t="s">
        <v>41</v>
      </c>
      <c r="C31" t="str">
        <f>INDEX(Típusok2[],MATCH(Rendelések2[[#This Row],[Típus]],Típusok2[Típus],0),2)</f>
        <v>CT-117</v>
      </c>
      <c r="D31" s="14" t="str">
        <f>INDEX(Országok2[],MATCH(Rendelések2[[#This Row],[Célország]],Országok2[Célország],0),2)</f>
        <v>Kelly Cook</v>
      </c>
      <c r="E31" t="s">
        <v>15</v>
      </c>
      <c r="F31" s="12" t="str">
        <f>IF(Rendelések2[[#This Row],[Max. várakozási idő]]&lt;10,"!","")</f>
        <v/>
      </c>
      <c r="G31" s="9">
        <v>44266</v>
      </c>
      <c r="H31" s="10">
        <v>15</v>
      </c>
      <c r="I31" s="9">
        <f>Rendelések2[[#This Row],[Rendelés dátuma]]+minimum</f>
        <v>44271</v>
      </c>
      <c r="J31" s="9">
        <f>Rendelések2[[#This Row],[Rendelés dátuma]]+Rendelések2[[#This Row],[Max. várakozási idő]]</f>
        <v>44281</v>
      </c>
      <c r="K31" s="22">
        <v>8000</v>
      </c>
      <c r="L31" s="28">
        <v>15</v>
      </c>
      <c r="M31" s="22">
        <f>Rendelések2[[#This Row],[Egységár (euró)]]*Rendelések2[[#This Row],[Rendelt mennyiség]]</f>
        <v>120000</v>
      </c>
      <c r="N31" s="24">
        <f>Rendelések2[[#This Row],[Fizetendő (euró)]]*$Q$2</f>
        <v>43200000</v>
      </c>
      <c r="O31" s="7" t="s">
        <v>1</v>
      </c>
    </row>
    <row r="32" spans="1:23" x14ac:dyDescent="0.25">
      <c r="A32" t="s">
        <v>89</v>
      </c>
      <c r="B32" s="2" t="s">
        <v>42</v>
      </c>
      <c r="C32" t="str">
        <f>INDEX(Típusok2[],MATCH(Rendelések2[[#This Row],[Típus]],Típusok2[Típus],0),2)</f>
        <v>CT-113</v>
      </c>
      <c r="D32" s="14" t="str">
        <f>INDEX(Országok2[],MATCH(Rendelések2[[#This Row],[Célország]],Országok2[Célország],0),2)</f>
        <v>Sarah Meyers</v>
      </c>
      <c r="E32" t="s">
        <v>17</v>
      </c>
      <c r="F32" s="12" t="str">
        <f>IF(Rendelések2[[#This Row],[Max. várakozási idő]]&lt;10,"!","")</f>
        <v/>
      </c>
      <c r="G32" s="9">
        <v>44536</v>
      </c>
      <c r="H32" s="10">
        <v>30</v>
      </c>
      <c r="I32" s="9">
        <f>Rendelések2[[#This Row],[Rendelés dátuma]]+minimum</f>
        <v>44541</v>
      </c>
      <c r="J32" s="9">
        <f>Rendelések2[[#This Row],[Rendelés dátuma]]+Rendelések2[[#This Row],[Max. várakozási idő]]</f>
        <v>44566</v>
      </c>
      <c r="K32" s="22">
        <v>13100</v>
      </c>
      <c r="L32" s="28">
        <v>11</v>
      </c>
      <c r="M32" s="22">
        <f>Rendelések2[[#This Row],[Egységár (euró)]]*Rendelések2[[#This Row],[Rendelt mennyiség]]</f>
        <v>144100</v>
      </c>
      <c r="N32" s="24">
        <f>Rendelések2[[#This Row],[Fizetendő (euró)]]*$Q$2</f>
        <v>51876000</v>
      </c>
      <c r="O32" s="7" t="s">
        <v>0</v>
      </c>
    </row>
    <row r="33" spans="1:15" x14ac:dyDescent="0.25">
      <c r="A33" t="s">
        <v>90</v>
      </c>
      <c r="B33" s="2" t="s">
        <v>33</v>
      </c>
      <c r="C33" t="str">
        <f>INDEX(Típusok2[],MATCH(Rendelések2[[#This Row],[Típus]],Típusok2[Típus],0),2)</f>
        <v>CT-108</v>
      </c>
      <c r="D33" s="14" t="str">
        <f>INDEX(Országok2[],MATCH(Rendelések2[[#This Row],[Célország]],Országok2[Célország],0),2)</f>
        <v>Kelly Cook</v>
      </c>
      <c r="E33" t="s">
        <v>19</v>
      </c>
      <c r="F33" s="12" t="str">
        <f>IF(Rendelések2[[#This Row],[Max. várakozási idő]]&lt;10,"!","")</f>
        <v/>
      </c>
      <c r="G33" s="9">
        <v>44669</v>
      </c>
      <c r="H33" s="10">
        <v>16</v>
      </c>
      <c r="I33" s="9">
        <f>Rendelések2[[#This Row],[Rendelés dátuma]]+minimum</f>
        <v>44674</v>
      </c>
      <c r="J33" s="9">
        <f>Rendelések2[[#This Row],[Rendelés dátuma]]+Rendelések2[[#This Row],[Max. várakozási idő]]</f>
        <v>44685</v>
      </c>
      <c r="K33" s="22">
        <v>12500</v>
      </c>
      <c r="L33" s="28">
        <v>10</v>
      </c>
      <c r="M33" s="22">
        <f>Rendelések2[[#This Row],[Egységár (euró)]]*Rendelések2[[#This Row],[Rendelt mennyiség]]</f>
        <v>125000</v>
      </c>
      <c r="N33" s="24">
        <f>Rendelések2[[#This Row],[Fizetendő (euró)]]*$Q$2</f>
        <v>45000000</v>
      </c>
      <c r="O33" s="7" t="s">
        <v>0</v>
      </c>
    </row>
    <row r="34" spans="1:15" x14ac:dyDescent="0.25">
      <c r="A34" t="s">
        <v>91</v>
      </c>
      <c r="B34" s="2" t="s">
        <v>41</v>
      </c>
      <c r="C34" t="str">
        <f>INDEX(Típusok2[],MATCH(Rendelések2[[#This Row],[Típus]],Típusok2[Típus],0),2)</f>
        <v>CT-117</v>
      </c>
      <c r="D34" s="14" t="str">
        <f>INDEX(Országok2[],MATCH(Rendelések2[[#This Row],[Célország]],Országok2[Célország],0),2)</f>
        <v>Colton Suarez</v>
      </c>
      <c r="E34" t="s">
        <v>24</v>
      </c>
      <c r="F34" s="12" t="str">
        <f>IF(Rendelések2[[#This Row],[Max. várakozási idő]]&lt;10,"!","")</f>
        <v/>
      </c>
      <c r="G34" s="9">
        <v>44691</v>
      </c>
      <c r="H34" s="10">
        <v>12</v>
      </c>
      <c r="I34" s="9">
        <f>Rendelések2[[#This Row],[Rendelés dátuma]]+minimum</f>
        <v>44696</v>
      </c>
      <c r="J34" s="9">
        <f>Rendelések2[[#This Row],[Rendelés dátuma]]+Rendelések2[[#This Row],[Max. várakozási idő]]</f>
        <v>44703</v>
      </c>
      <c r="K34" s="22">
        <v>10000</v>
      </c>
      <c r="L34" s="28">
        <v>16</v>
      </c>
      <c r="M34" s="22">
        <f>Rendelések2[[#This Row],[Egységár (euró)]]*Rendelések2[[#This Row],[Rendelt mennyiség]]</f>
        <v>160000</v>
      </c>
      <c r="N34" s="24">
        <f>Rendelések2[[#This Row],[Fizetendő (euró)]]*$Q$2</f>
        <v>57600000</v>
      </c>
      <c r="O34" s="7" t="s">
        <v>0</v>
      </c>
    </row>
    <row r="35" spans="1:15" x14ac:dyDescent="0.25">
      <c r="A35" t="s">
        <v>92</v>
      </c>
      <c r="B35" s="2" t="s">
        <v>44</v>
      </c>
      <c r="C35" t="str">
        <f>INDEX(Típusok2[],MATCH(Rendelések2[[#This Row],[Típus]],Típusok2[Típus],0),2)</f>
        <v>CT-106</v>
      </c>
      <c r="D35" s="14" t="str">
        <f>INDEX(Országok2[],MATCH(Rendelések2[[#This Row],[Célország]],Országok2[Célország],0),2)</f>
        <v>Brent Brennan</v>
      </c>
      <c r="E35" t="s">
        <v>16</v>
      </c>
      <c r="F35" s="12" t="str">
        <f>IF(Rendelések2[[#This Row],[Max. várakozási idő]]&lt;10,"!","")</f>
        <v>!</v>
      </c>
      <c r="G35" s="9">
        <v>44155</v>
      </c>
      <c r="H35" s="10">
        <v>9</v>
      </c>
      <c r="I35" s="9">
        <f>Rendelések2[[#This Row],[Rendelés dátuma]]+minimum</f>
        <v>44160</v>
      </c>
      <c r="J35" s="9">
        <f>Rendelések2[[#This Row],[Rendelés dátuma]]+Rendelések2[[#This Row],[Max. várakozási idő]]</f>
        <v>44164</v>
      </c>
      <c r="K35" s="22">
        <v>9400</v>
      </c>
      <c r="L35" s="28">
        <v>14</v>
      </c>
      <c r="M35" s="22">
        <f>Rendelések2[[#This Row],[Egységár (euró)]]*Rendelések2[[#This Row],[Rendelt mennyiség]]</f>
        <v>131600</v>
      </c>
      <c r="N35" s="24">
        <f>Rendelések2[[#This Row],[Fizetendő (euró)]]*$Q$2</f>
        <v>47376000</v>
      </c>
      <c r="O35" s="7" t="s">
        <v>1</v>
      </c>
    </row>
    <row r="36" spans="1:15" x14ac:dyDescent="0.25">
      <c r="A36" t="s">
        <v>93</v>
      </c>
      <c r="B36" s="2" t="s">
        <v>37</v>
      </c>
      <c r="C36" t="str">
        <f>INDEX(Típusok2[],MATCH(Rendelések2[[#This Row],[Típus]],Típusok2[Típus],0),2)</f>
        <v>CT-110</v>
      </c>
      <c r="D36" s="14" t="str">
        <f>INDEX(Országok2[],MATCH(Rendelések2[[#This Row],[Célország]],Országok2[Célország],0),2)</f>
        <v>Malcolm Klein</v>
      </c>
      <c r="E36" t="s">
        <v>3</v>
      </c>
      <c r="F36" s="12" t="str">
        <f>IF(Rendelések2[[#This Row],[Max. várakozási idő]]&lt;10,"!","")</f>
        <v/>
      </c>
      <c r="G36" s="9">
        <v>44605</v>
      </c>
      <c r="H36" s="10">
        <v>15</v>
      </c>
      <c r="I36" s="9">
        <f>Rendelések2[[#This Row],[Rendelés dátuma]]+minimum</f>
        <v>44610</v>
      </c>
      <c r="J36" s="9">
        <f>Rendelések2[[#This Row],[Rendelés dátuma]]+Rendelések2[[#This Row],[Max. várakozási idő]]</f>
        <v>44620</v>
      </c>
      <c r="K36" s="22">
        <v>8700</v>
      </c>
      <c r="L36" s="28">
        <v>17</v>
      </c>
      <c r="M36" s="22">
        <f>Rendelések2[[#This Row],[Egységár (euró)]]*Rendelések2[[#This Row],[Rendelt mennyiség]]</f>
        <v>147900</v>
      </c>
      <c r="N36" s="24">
        <f>Rendelések2[[#This Row],[Fizetendő (euró)]]*$Q$2</f>
        <v>53244000</v>
      </c>
      <c r="O36" s="7" t="s">
        <v>1</v>
      </c>
    </row>
    <row r="37" spans="1:15" x14ac:dyDescent="0.25">
      <c r="A37" t="s">
        <v>94</v>
      </c>
      <c r="B37" s="2" t="s">
        <v>35</v>
      </c>
      <c r="C37" t="str">
        <f>INDEX(Típusok2[],MATCH(Rendelések2[[#This Row],[Típus]],Típusok2[Típus],0),2)</f>
        <v>CT-102</v>
      </c>
      <c r="D37" s="14" t="str">
        <f>INDEX(Országok2[],MATCH(Rendelések2[[#This Row],[Célország]],Országok2[Célország],0),2)</f>
        <v>Sierra Richardson</v>
      </c>
      <c r="E37" t="s">
        <v>12</v>
      </c>
      <c r="F37" s="12" t="str">
        <f>IF(Rendelések2[[#This Row],[Max. várakozási idő]]&lt;10,"!","")</f>
        <v/>
      </c>
      <c r="G37" s="9">
        <v>44459</v>
      </c>
      <c r="H37" s="10">
        <v>29</v>
      </c>
      <c r="I37" s="9">
        <f>Rendelések2[[#This Row],[Rendelés dátuma]]+minimum</f>
        <v>44464</v>
      </c>
      <c r="J37" s="9">
        <f>Rendelések2[[#This Row],[Rendelés dátuma]]+Rendelések2[[#This Row],[Max. várakozási idő]]</f>
        <v>44488</v>
      </c>
      <c r="K37" s="22">
        <v>10400</v>
      </c>
      <c r="L37" s="28">
        <v>17</v>
      </c>
      <c r="M37" s="22">
        <f>Rendelések2[[#This Row],[Egységár (euró)]]*Rendelések2[[#This Row],[Rendelt mennyiség]]</f>
        <v>176800</v>
      </c>
      <c r="N37" s="24">
        <f>Rendelések2[[#This Row],[Fizetendő (euró)]]*$Q$2</f>
        <v>63648000</v>
      </c>
      <c r="O37" s="7" t="s">
        <v>0</v>
      </c>
    </row>
    <row r="38" spans="1:15" x14ac:dyDescent="0.25">
      <c r="A38" t="s">
        <v>95</v>
      </c>
      <c r="B38" s="2" t="s">
        <v>44</v>
      </c>
      <c r="C38" t="str">
        <f>INDEX(Típusok2[],MATCH(Rendelések2[[#This Row],[Típus]],Típusok2[Típus],0),2)</f>
        <v>CT-106</v>
      </c>
      <c r="D38" s="14" t="str">
        <f>INDEX(Országok2[],MATCH(Rendelések2[[#This Row],[Célország]],Országok2[Célország],0),2)</f>
        <v>Sarah Meyers</v>
      </c>
      <c r="E38" t="s">
        <v>17</v>
      </c>
      <c r="F38" s="12" t="str">
        <f>IF(Rendelések2[[#This Row],[Max. várakozási idő]]&lt;10,"!","")</f>
        <v/>
      </c>
      <c r="G38" s="9">
        <v>44720</v>
      </c>
      <c r="H38" s="10">
        <v>28</v>
      </c>
      <c r="I38" s="9">
        <f>Rendelések2[[#This Row],[Rendelés dátuma]]+minimum</f>
        <v>44725</v>
      </c>
      <c r="J38" s="9">
        <f>Rendelések2[[#This Row],[Rendelés dátuma]]+Rendelések2[[#This Row],[Max. várakozási idő]]</f>
        <v>44748</v>
      </c>
      <c r="K38" s="22">
        <v>9500</v>
      </c>
      <c r="L38" s="28">
        <v>11</v>
      </c>
      <c r="M38" s="22">
        <f>Rendelések2[[#This Row],[Egységár (euró)]]*Rendelések2[[#This Row],[Rendelt mennyiség]]</f>
        <v>104500</v>
      </c>
      <c r="N38" s="24">
        <f>Rendelések2[[#This Row],[Fizetendő (euró)]]*$Q$2</f>
        <v>37620000</v>
      </c>
      <c r="O38" s="7" t="s">
        <v>0</v>
      </c>
    </row>
    <row r="39" spans="1:15" x14ac:dyDescent="0.25">
      <c r="A39" t="s">
        <v>96</v>
      </c>
      <c r="B39" s="2" t="s">
        <v>37</v>
      </c>
      <c r="C39" t="str">
        <f>INDEX(Típusok2[],MATCH(Rendelések2[[#This Row],[Típus]],Típusok2[Típus],0),2)</f>
        <v>CT-110</v>
      </c>
      <c r="D39" s="14" t="str">
        <f>INDEX(Országok2[],MATCH(Rendelések2[[#This Row],[Célország]],Országok2[Célország],0),2)</f>
        <v>Brittany Francis</v>
      </c>
      <c r="E39" t="s">
        <v>6</v>
      </c>
      <c r="F39" s="12" t="str">
        <f>IF(Rendelések2[[#This Row],[Max. várakozási idő]]&lt;10,"!","")</f>
        <v/>
      </c>
      <c r="G39" s="9">
        <v>44178</v>
      </c>
      <c r="H39" s="10">
        <v>14</v>
      </c>
      <c r="I39" s="9">
        <f>Rendelések2[[#This Row],[Rendelés dátuma]]+minimum</f>
        <v>44183</v>
      </c>
      <c r="J39" s="9">
        <f>Rendelések2[[#This Row],[Rendelés dátuma]]+Rendelések2[[#This Row],[Max. várakozási idő]]</f>
        <v>44192</v>
      </c>
      <c r="K39" s="22">
        <v>10500</v>
      </c>
      <c r="L39" s="28">
        <v>10</v>
      </c>
      <c r="M39" s="22">
        <f>Rendelések2[[#This Row],[Egységár (euró)]]*Rendelések2[[#This Row],[Rendelt mennyiség]]</f>
        <v>105000</v>
      </c>
      <c r="N39" s="24">
        <f>Rendelések2[[#This Row],[Fizetendő (euró)]]*$Q$2</f>
        <v>37800000</v>
      </c>
      <c r="O39" s="7" t="s">
        <v>0</v>
      </c>
    </row>
    <row r="40" spans="1:15" x14ac:dyDescent="0.25">
      <c r="A40" t="s">
        <v>97</v>
      </c>
      <c r="B40" s="2" t="s">
        <v>34</v>
      </c>
      <c r="C40" t="str">
        <f>INDEX(Típusok2[],MATCH(Rendelések2[[#This Row],[Típus]],Típusok2[Típus],0),2)</f>
        <v>CT-101</v>
      </c>
      <c r="D40" s="14" t="str">
        <f>INDEX(Országok2[],MATCH(Rendelések2[[#This Row],[Célország]],Országok2[Célország],0),2)</f>
        <v>Lars Cobb</v>
      </c>
      <c r="E40" t="s">
        <v>27</v>
      </c>
      <c r="F40" s="12" t="str">
        <f>IF(Rendelések2[[#This Row],[Max. várakozási idő]]&lt;10,"!","")</f>
        <v/>
      </c>
      <c r="G40" s="9">
        <v>44218</v>
      </c>
      <c r="H40" s="10">
        <v>29</v>
      </c>
      <c r="I40" s="9">
        <f>Rendelések2[[#This Row],[Rendelés dátuma]]+minimum</f>
        <v>44223</v>
      </c>
      <c r="J40" s="9">
        <f>Rendelések2[[#This Row],[Rendelés dátuma]]+Rendelések2[[#This Row],[Max. várakozási idő]]</f>
        <v>44247</v>
      </c>
      <c r="K40" s="22">
        <v>9800</v>
      </c>
      <c r="L40" s="28">
        <v>17</v>
      </c>
      <c r="M40" s="22">
        <f>Rendelések2[[#This Row],[Egységár (euró)]]*Rendelések2[[#This Row],[Rendelt mennyiség]]</f>
        <v>166600</v>
      </c>
      <c r="N40" s="24">
        <f>Rendelések2[[#This Row],[Fizetendő (euró)]]*$Q$2</f>
        <v>59976000</v>
      </c>
      <c r="O40" s="7" t="s">
        <v>0</v>
      </c>
    </row>
    <row r="41" spans="1:15" x14ac:dyDescent="0.25">
      <c r="A41" t="s">
        <v>98</v>
      </c>
      <c r="B41" s="2" t="s">
        <v>41</v>
      </c>
      <c r="C41" t="str">
        <f>INDEX(Típusok2[],MATCH(Rendelések2[[#This Row],[Típus]],Típusok2[Típus],0),2)</f>
        <v>CT-117</v>
      </c>
      <c r="D41" s="14" t="str">
        <f>INDEX(Országok2[],MATCH(Rendelések2[[#This Row],[Célország]],Országok2[Célország],0),2)</f>
        <v>Malcolm Klein</v>
      </c>
      <c r="E41" t="s">
        <v>3</v>
      </c>
      <c r="F41" s="12" t="str">
        <f>IF(Rendelések2[[#This Row],[Max. várakozási idő]]&lt;10,"!","")</f>
        <v/>
      </c>
      <c r="G41" s="9">
        <v>44167</v>
      </c>
      <c r="H41" s="10">
        <v>22</v>
      </c>
      <c r="I41" s="9">
        <f>Rendelések2[[#This Row],[Rendelés dátuma]]+minimum</f>
        <v>44172</v>
      </c>
      <c r="J41" s="9">
        <f>Rendelések2[[#This Row],[Rendelés dátuma]]+Rendelések2[[#This Row],[Max. várakozási idő]]</f>
        <v>44189</v>
      </c>
      <c r="K41" s="22">
        <v>14700</v>
      </c>
      <c r="L41" s="28">
        <v>14</v>
      </c>
      <c r="M41" s="22">
        <f>Rendelések2[[#This Row],[Egységár (euró)]]*Rendelések2[[#This Row],[Rendelt mennyiség]]</f>
        <v>205800</v>
      </c>
      <c r="N41" s="24">
        <f>Rendelések2[[#This Row],[Fizetendő (euró)]]*$Q$2</f>
        <v>74088000</v>
      </c>
      <c r="O41" s="7" t="s">
        <v>0</v>
      </c>
    </row>
    <row r="42" spans="1:15" x14ac:dyDescent="0.25">
      <c r="A42" t="s">
        <v>99</v>
      </c>
      <c r="B42" s="2" t="s">
        <v>33</v>
      </c>
      <c r="C42" t="str">
        <f>INDEX(Típusok2[],MATCH(Rendelések2[[#This Row],[Típus]],Típusok2[Típus],0),2)</f>
        <v>CT-108</v>
      </c>
      <c r="D42" s="14" t="str">
        <f>INDEX(Országok2[],MATCH(Rendelések2[[#This Row],[Célország]],Országok2[Célország],0),2)</f>
        <v>Sierra Richardson</v>
      </c>
      <c r="E42" t="s">
        <v>21</v>
      </c>
      <c r="F42" s="12" t="str">
        <f>IF(Rendelések2[[#This Row],[Max. várakozási idő]]&lt;10,"!","")</f>
        <v/>
      </c>
      <c r="G42" s="9">
        <v>44380</v>
      </c>
      <c r="H42" s="10">
        <v>17</v>
      </c>
      <c r="I42" s="9">
        <f>Rendelések2[[#This Row],[Rendelés dátuma]]+minimum</f>
        <v>44385</v>
      </c>
      <c r="J42" s="9">
        <f>Rendelések2[[#This Row],[Rendelés dátuma]]+Rendelések2[[#This Row],[Max. várakozási idő]]</f>
        <v>44397</v>
      </c>
      <c r="K42" s="22">
        <v>13600</v>
      </c>
      <c r="L42" s="28">
        <v>16</v>
      </c>
      <c r="M42" s="22">
        <f>Rendelések2[[#This Row],[Egységár (euró)]]*Rendelések2[[#This Row],[Rendelt mennyiség]]</f>
        <v>217600</v>
      </c>
      <c r="N42" s="24">
        <f>Rendelések2[[#This Row],[Fizetendő (euró)]]*$Q$2</f>
        <v>78336000</v>
      </c>
      <c r="O42" s="7" t="s">
        <v>0</v>
      </c>
    </row>
    <row r="43" spans="1:15" x14ac:dyDescent="0.25">
      <c r="A43" t="s">
        <v>100</v>
      </c>
      <c r="B43" s="2" t="s">
        <v>34</v>
      </c>
      <c r="C43" t="str">
        <f>INDEX(Típusok2[],MATCH(Rendelések2[[#This Row],[Típus]],Típusok2[Típus],0),2)</f>
        <v>CT-101</v>
      </c>
      <c r="D43" s="14" t="str">
        <f>INDEX(Országok2[],MATCH(Rendelések2[[#This Row],[Célország]],Országok2[Célország],0),2)</f>
        <v>Brittany Francis</v>
      </c>
      <c r="E43" t="s">
        <v>6</v>
      </c>
      <c r="F43" s="12" t="str">
        <f>IF(Rendelések2[[#This Row],[Max. várakozási idő]]&lt;10,"!","")</f>
        <v/>
      </c>
      <c r="G43" s="9">
        <v>44224</v>
      </c>
      <c r="H43" s="10">
        <v>29</v>
      </c>
      <c r="I43" s="9">
        <f>Rendelések2[[#This Row],[Rendelés dátuma]]+minimum</f>
        <v>44229</v>
      </c>
      <c r="J43" s="9">
        <f>Rendelések2[[#This Row],[Rendelés dátuma]]+Rendelések2[[#This Row],[Max. várakozási idő]]</f>
        <v>44253</v>
      </c>
      <c r="K43" s="22">
        <v>11900</v>
      </c>
      <c r="L43" s="28">
        <v>20</v>
      </c>
      <c r="M43" s="22">
        <f>Rendelések2[[#This Row],[Egységár (euró)]]*Rendelések2[[#This Row],[Rendelt mennyiség]]</f>
        <v>238000</v>
      </c>
      <c r="N43" s="24">
        <f>Rendelések2[[#This Row],[Fizetendő (euró)]]*$Q$2</f>
        <v>85680000</v>
      </c>
      <c r="O43" s="7" t="s">
        <v>0</v>
      </c>
    </row>
    <row r="44" spans="1:15" x14ac:dyDescent="0.25">
      <c r="A44" t="s">
        <v>101</v>
      </c>
      <c r="B44" s="2" t="s">
        <v>34</v>
      </c>
      <c r="C44" t="str">
        <f>INDEX(Típusok2[],MATCH(Rendelések2[[#This Row],[Típus]],Típusok2[Típus],0),2)</f>
        <v>CT-101</v>
      </c>
      <c r="D44" s="14" t="str">
        <f>INDEX(Országok2[],MATCH(Rendelések2[[#This Row],[Célország]],Országok2[Célország],0),2)</f>
        <v>Sarah Meyers</v>
      </c>
      <c r="E44" t="s">
        <v>18</v>
      </c>
      <c r="F44" s="12" t="str">
        <f>IF(Rendelések2[[#This Row],[Max. várakozási idő]]&lt;10,"!","")</f>
        <v/>
      </c>
      <c r="G44" s="9">
        <v>44694</v>
      </c>
      <c r="H44" s="10">
        <v>20</v>
      </c>
      <c r="I44" s="9">
        <f>Rendelések2[[#This Row],[Rendelés dátuma]]+minimum</f>
        <v>44699</v>
      </c>
      <c r="J44" s="9">
        <f>Rendelések2[[#This Row],[Rendelés dátuma]]+Rendelések2[[#This Row],[Max. várakozási idő]]</f>
        <v>44714</v>
      </c>
      <c r="K44" s="22">
        <v>9500</v>
      </c>
      <c r="L44" s="28">
        <v>17</v>
      </c>
      <c r="M44" s="22">
        <f>Rendelések2[[#This Row],[Egységár (euró)]]*Rendelések2[[#This Row],[Rendelt mennyiség]]</f>
        <v>161500</v>
      </c>
      <c r="N44" s="24">
        <f>Rendelések2[[#This Row],[Fizetendő (euró)]]*$Q$2</f>
        <v>58140000</v>
      </c>
      <c r="O44" s="7" t="s">
        <v>1</v>
      </c>
    </row>
    <row r="45" spans="1:15" x14ac:dyDescent="0.25">
      <c r="A45" t="s">
        <v>102</v>
      </c>
      <c r="B45" s="2" t="s">
        <v>38</v>
      </c>
      <c r="C45" t="str">
        <f>INDEX(Típusok2[],MATCH(Rendelések2[[#This Row],[Típus]],Típusok2[Típus],0),2)</f>
        <v>CT-104</v>
      </c>
      <c r="D45" s="14" t="str">
        <f>INDEX(Országok2[],MATCH(Rendelések2[[#This Row],[Célország]],Országok2[Célország],0),2)</f>
        <v>Colton Suarez</v>
      </c>
      <c r="E45" t="s">
        <v>26</v>
      </c>
      <c r="F45" s="12" t="str">
        <f>IF(Rendelések2[[#This Row],[Max. várakozási idő]]&lt;10,"!","")</f>
        <v/>
      </c>
      <c r="G45" s="9">
        <v>44135</v>
      </c>
      <c r="H45" s="10">
        <v>17</v>
      </c>
      <c r="I45" s="9">
        <f>Rendelések2[[#This Row],[Rendelés dátuma]]+minimum</f>
        <v>44140</v>
      </c>
      <c r="J45" s="9">
        <f>Rendelések2[[#This Row],[Rendelés dátuma]]+Rendelések2[[#This Row],[Max. várakozási idő]]</f>
        <v>44152</v>
      </c>
      <c r="K45" s="22">
        <v>10600</v>
      </c>
      <c r="L45" s="28">
        <v>10</v>
      </c>
      <c r="M45" s="22">
        <f>Rendelések2[[#This Row],[Egységár (euró)]]*Rendelések2[[#This Row],[Rendelt mennyiség]]</f>
        <v>106000</v>
      </c>
      <c r="N45" s="24">
        <f>Rendelések2[[#This Row],[Fizetendő (euró)]]*$Q$2</f>
        <v>38160000</v>
      </c>
      <c r="O45" s="7" t="s">
        <v>0</v>
      </c>
    </row>
    <row r="46" spans="1:15" x14ac:dyDescent="0.25">
      <c r="A46" t="s">
        <v>103</v>
      </c>
      <c r="B46" s="2" t="s">
        <v>43</v>
      </c>
      <c r="C46" t="str">
        <f>INDEX(Típusok2[],MATCH(Rendelések2[[#This Row],[Típus]],Típusok2[Típus],0),2)</f>
        <v>CT-103</v>
      </c>
      <c r="D46" s="14" t="str">
        <f>INDEX(Országok2[],MATCH(Rendelések2[[#This Row],[Célország]],Országok2[Célország],0),2)</f>
        <v>Brent Brennan</v>
      </c>
      <c r="E46" t="s">
        <v>16</v>
      </c>
      <c r="F46" s="12" t="str">
        <f>IF(Rendelések2[[#This Row],[Max. várakozási idő]]&lt;10,"!","")</f>
        <v>!</v>
      </c>
      <c r="G46" s="9">
        <v>44722</v>
      </c>
      <c r="H46" s="10">
        <v>6</v>
      </c>
      <c r="I46" s="9">
        <f>Rendelések2[[#This Row],[Rendelés dátuma]]+minimum</f>
        <v>44727</v>
      </c>
      <c r="J46" s="9">
        <f>Rendelések2[[#This Row],[Rendelés dátuma]]+Rendelések2[[#This Row],[Max. várakozási idő]]</f>
        <v>44728</v>
      </c>
      <c r="K46" s="22">
        <v>13800</v>
      </c>
      <c r="L46" s="28">
        <v>17</v>
      </c>
      <c r="M46" s="22">
        <f>Rendelések2[[#This Row],[Egységár (euró)]]*Rendelések2[[#This Row],[Rendelt mennyiség]]</f>
        <v>234600</v>
      </c>
      <c r="N46" s="24">
        <f>Rendelések2[[#This Row],[Fizetendő (euró)]]*$Q$2</f>
        <v>84456000</v>
      </c>
      <c r="O46" s="7" t="s">
        <v>0</v>
      </c>
    </row>
    <row r="47" spans="1:15" x14ac:dyDescent="0.25">
      <c r="A47" t="s">
        <v>104</v>
      </c>
      <c r="B47" s="2" t="s">
        <v>36</v>
      </c>
      <c r="C47" t="str">
        <f>INDEX(Típusok2[],MATCH(Rendelések2[[#This Row],[Típus]],Típusok2[Típus],0),2)</f>
        <v>CT-115</v>
      </c>
      <c r="D47" s="14" t="str">
        <f>INDEX(Országok2[],MATCH(Rendelések2[[#This Row],[Célország]],Országok2[Célország],0),2)</f>
        <v>Brent Brennan</v>
      </c>
      <c r="E47" t="s">
        <v>16</v>
      </c>
      <c r="F47" s="12" t="str">
        <f>IF(Rendelések2[[#This Row],[Max. várakozási idő]]&lt;10,"!","")</f>
        <v/>
      </c>
      <c r="G47" s="9">
        <v>44609</v>
      </c>
      <c r="H47" s="10">
        <v>17</v>
      </c>
      <c r="I47" s="9">
        <f>Rendelések2[[#This Row],[Rendelés dátuma]]+minimum</f>
        <v>44614</v>
      </c>
      <c r="J47" s="9">
        <f>Rendelések2[[#This Row],[Rendelés dátuma]]+Rendelések2[[#This Row],[Max. várakozási idő]]</f>
        <v>44626</v>
      </c>
      <c r="K47" s="22">
        <v>10800</v>
      </c>
      <c r="L47" s="28">
        <v>14</v>
      </c>
      <c r="M47" s="22">
        <f>Rendelések2[[#This Row],[Egységár (euró)]]*Rendelések2[[#This Row],[Rendelt mennyiség]]</f>
        <v>151200</v>
      </c>
      <c r="N47" s="24">
        <f>Rendelések2[[#This Row],[Fizetendő (euró)]]*$Q$2</f>
        <v>54432000</v>
      </c>
      <c r="O47" s="7" t="s">
        <v>0</v>
      </c>
    </row>
    <row r="48" spans="1:15" x14ac:dyDescent="0.25">
      <c r="A48" t="s">
        <v>105</v>
      </c>
      <c r="B48" s="2" t="s">
        <v>41</v>
      </c>
      <c r="C48" t="str">
        <f>INDEX(Típusok2[],MATCH(Rendelések2[[#This Row],[Típus]],Típusok2[Típus],0),2)</f>
        <v>CT-117</v>
      </c>
      <c r="D48" s="14" t="str">
        <f>INDEX(Országok2[],MATCH(Rendelések2[[#This Row],[Célország]],Országok2[Célország],0),2)</f>
        <v>Brent Brennan</v>
      </c>
      <c r="E48" t="s">
        <v>20</v>
      </c>
      <c r="F48" s="12" t="str">
        <f>IF(Rendelések2[[#This Row],[Max. várakozási idő]]&lt;10,"!","")</f>
        <v/>
      </c>
      <c r="G48" s="9">
        <v>44717</v>
      </c>
      <c r="H48" s="10">
        <v>28</v>
      </c>
      <c r="I48" s="9">
        <f>Rendelések2[[#This Row],[Rendelés dátuma]]+minimum</f>
        <v>44722</v>
      </c>
      <c r="J48" s="9">
        <f>Rendelések2[[#This Row],[Rendelés dátuma]]+Rendelések2[[#This Row],[Max. várakozási idő]]</f>
        <v>44745</v>
      </c>
      <c r="K48" s="22">
        <v>9700</v>
      </c>
      <c r="L48" s="28">
        <v>16</v>
      </c>
      <c r="M48" s="22">
        <f>Rendelések2[[#This Row],[Egységár (euró)]]*Rendelések2[[#This Row],[Rendelt mennyiség]]</f>
        <v>155200</v>
      </c>
      <c r="N48" s="24">
        <f>Rendelések2[[#This Row],[Fizetendő (euró)]]*$Q$2</f>
        <v>55872000</v>
      </c>
      <c r="O48" s="7" t="s">
        <v>1</v>
      </c>
    </row>
    <row r="49" spans="1:15" x14ac:dyDescent="0.25">
      <c r="A49" t="s">
        <v>106</v>
      </c>
      <c r="B49" s="2" t="s">
        <v>43</v>
      </c>
      <c r="C49" t="str">
        <f>INDEX(Típusok2[],MATCH(Rendelések2[[#This Row],[Típus]],Típusok2[Típus],0),2)</f>
        <v>CT-103</v>
      </c>
      <c r="D49" s="14" t="str">
        <f>INDEX(Országok2[],MATCH(Rendelések2[[#This Row],[Célország]],Országok2[Célország],0),2)</f>
        <v>Sarah Meyers</v>
      </c>
      <c r="E49" t="s">
        <v>10</v>
      </c>
      <c r="F49" s="12" t="str">
        <f>IF(Rendelések2[[#This Row],[Max. várakozási idő]]&lt;10,"!","")</f>
        <v/>
      </c>
      <c r="G49" s="9">
        <v>44274</v>
      </c>
      <c r="H49" s="10">
        <v>12</v>
      </c>
      <c r="I49" s="9">
        <f>Rendelések2[[#This Row],[Rendelés dátuma]]+minimum</f>
        <v>44279</v>
      </c>
      <c r="J49" s="9">
        <f>Rendelések2[[#This Row],[Rendelés dátuma]]+Rendelések2[[#This Row],[Max. várakozási idő]]</f>
        <v>44286</v>
      </c>
      <c r="K49" s="22">
        <v>8300</v>
      </c>
      <c r="L49" s="28">
        <v>11</v>
      </c>
      <c r="M49" s="22">
        <f>Rendelések2[[#This Row],[Egységár (euró)]]*Rendelések2[[#This Row],[Rendelt mennyiség]]</f>
        <v>91300</v>
      </c>
      <c r="N49" s="24">
        <f>Rendelések2[[#This Row],[Fizetendő (euró)]]*$Q$2</f>
        <v>32868000</v>
      </c>
      <c r="O49" s="7" t="s">
        <v>0</v>
      </c>
    </row>
    <row r="50" spans="1:15" x14ac:dyDescent="0.25">
      <c r="A50" t="s">
        <v>107</v>
      </c>
      <c r="B50" s="2" t="s">
        <v>41</v>
      </c>
      <c r="C50" t="str">
        <f>INDEX(Típusok2[],MATCH(Rendelések2[[#This Row],[Típus]],Típusok2[Típus],0),2)</f>
        <v>CT-117</v>
      </c>
      <c r="D50" s="14" t="str">
        <f>INDEX(Országok2[],MATCH(Rendelések2[[#This Row],[Célország]],Országok2[Célország],0),2)</f>
        <v>Kelly Cook</v>
      </c>
      <c r="E50" t="s">
        <v>14</v>
      </c>
      <c r="F50" s="12" t="str">
        <f>IF(Rendelések2[[#This Row],[Max. várakozási idő]]&lt;10,"!","")</f>
        <v/>
      </c>
      <c r="G50" s="9">
        <v>44570</v>
      </c>
      <c r="H50" s="10">
        <v>10</v>
      </c>
      <c r="I50" s="9">
        <f>Rendelések2[[#This Row],[Rendelés dátuma]]+minimum</f>
        <v>44575</v>
      </c>
      <c r="J50" s="9">
        <f>Rendelések2[[#This Row],[Rendelés dátuma]]+Rendelések2[[#This Row],[Max. várakozási idő]]</f>
        <v>44580</v>
      </c>
      <c r="K50" s="22">
        <v>12300</v>
      </c>
      <c r="L50" s="28">
        <v>15</v>
      </c>
      <c r="M50" s="22">
        <f>Rendelések2[[#This Row],[Egységár (euró)]]*Rendelések2[[#This Row],[Rendelt mennyiség]]</f>
        <v>184500</v>
      </c>
      <c r="N50" s="24">
        <f>Rendelések2[[#This Row],[Fizetendő (euró)]]*$Q$2</f>
        <v>66420000</v>
      </c>
      <c r="O50" s="7" t="s">
        <v>0</v>
      </c>
    </row>
    <row r="51" spans="1:15" x14ac:dyDescent="0.25">
      <c r="A51" t="s">
        <v>108</v>
      </c>
      <c r="B51" s="2" t="s">
        <v>39</v>
      </c>
      <c r="C51" t="str">
        <f>INDEX(Típusok2[],MATCH(Rendelések2[[#This Row],[Típus]],Típusok2[Típus],0),2)</f>
        <v>CT-116</v>
      </c>
      <c r="D51" s="14" t="str">
        <f>INDEX(Országok2[],MATCH(Rendelések2[[#This Row],[Célország]],Országok2[Célország],0),2)</f>
        <v>Sarah Meyers</v>
      </c>
      <c r="E51" t="s">
        <v>11</v>
      </c>
      <c r="F51" s="12" t="str">
        <f>IF(Rendelések2[[#This Row],[Max. várakozási idő]]&lt;10,"!","")</f>
        <v>!</v>
      </c>
      <c r="G51" s="9">
        <v>44067</v>
      </c>
      <c r="H51" s="10">
        <v>9</v>
      </c>
      <c r="I51" s="9">
        <f>Rendelések2[[#This Row],[Rendelés dátuma]]+minimum</f>
        <v>44072</v>
      </c>
      <c r="J51" s="9">
        <f>Rendelések2[[#This Row],[Rendelés dátuma]]+Rendelések2[[#This Row],[Max. várakozási idő]]</f>
        <v>44076</v>
      </c>
      <c r="K51" s="23">
        <v>11500</v>
      </c>
      <c r="L51" s="28">
        <v>12</v>
      </c>
      <c r="M51" s="22">
        <f>Rendelések2[[#This Row],[Egységár (euró)]]*Rendelések2[[#This Row],[Rendelt mennyiség]]</f>
        <v>138000</v>
      </c>
      <c r="N51" s="24">
        <f>Rendelések2[[#This Row],[Fizetendő (euró)]]*$Q$2</f>
        <v>49680000</v>
      </c>
      <c r="O51" s="8" t="s">
        <v>0</v>
      </c>
    </row>
    <row r="52" spans="1:15" x14ac:dyDescent="0.25">
      <c r="K52" s="1"/>
      <c r="L52" s="4"/>
      <c r="M52" s="4"/>
      <c r="N52" s="4"/>
    </row>
    <row r="53" spans="1:15" x14ac:dyDescent="0.25">
      <c r="K53" s="1"/>
      <c r="L53" s="4"/>
      <c r="M53" s="4"/>
      <c r="N53" s="4"/>
    </row>
    <row r="54" spans="1:15" x14ac:dyDescent="0.25">
      <c r="K54" s="1"/>
      <c r="L54" s="4"/>
      <c r="M54" s="4"/>
      <c r="N54" s="4"/>
    </row>
    <row r="55" spans="1:15" x14ac:dyDescent="0.25">
      <c r="K55" s="1"/>
      <c r="L55" s="4"/>
      <c r="M55" s="4"/>
      <c r="N55" s="4"/>
    </row>
    <row r="56" spans="1:15" x14ac:dyDescent="0.25">
      <c r="K56" s="1"/>
      <c r="L56" s="4"/>
      <c r="M56" s="4"/>
      <c r="N56" s="4"/>
    </row>
    <row r="57" spans="1:15" x14ac:dyDescent="0.25">
      <c r="K57" s="1"/>
      <c r="L57" s="4"/>
      <c r="M57" s="4"/>
      <c r="N57" s="4"/>
    </row>
    <row r="58" spans="1:15" x14ac:dyDescent="0.25">
      <c r="K58" s="1"/>
      <c r="L58" s="4"/>
      <c r="M58" s="4"/>
      <c r="N58" s="4"/>
    </row>
    <row r="59" spans="1:15" x14ac:dyDescent="0.25">
      <c r="K59" s="1"/>
      <c r="L59" s="4"/>
      <c r="M59" s="4"/>
      <c r="N59" s="4"/>
    </row>
    <row r="60" spans="1:15" x14ac:dyDescent="0.25">
      <c r="K60" s="1"/>
      <c r="L60" s="4"/>
      <c r="M60" s="4"/>
      <c r="N60" s="4"/>
    </row>
    <row r="61" spans="1:15" x14ac:dyDescent="0.25">
      <c r="K61" s="1"/>
      <c r="L61" s="4"/>
      <c r="M61" s="4"/>
      <c r="N61" s="4"/>
    </row>
    <row r="62" spans="1:15" x14ac:dyDescent="0.25">
      <c r="K62" s="1"/>
      <c r="L62" s="4"/>
      <c r="M62" s="4"/>
      <c r="N62" s="4"/>
    </row>
    <row r="63" spans="1:15" x14ac:dyDescent="0.25">
      <c r="K63" s="1"/>
      <c r="L63" s="4"/>
      <c r="M63" s="4"/>
      <c r="N63" s="4"/>
    </row>
    <row r="64" spans="1:15" x14ac:dyDescent="0.25">
      <c r="K64" s="1"/>
      <c r="L64" s="4"/>
      <c r="M64" s="4"/>
      <c r="N64" s="4"/>
    </row>
    <row r="65" spans="11:14" x14ac:dyDescent="0.25">
      <c r="K65" s="1"/>
      <c r="L65" s="4"/>
      <c r="M65" s="4"/>
      <c r="N65" s="4"/>
    </row>
    <row r="66" spans="11:14" x14ac:dyDescent="0.25">
      <c r="K66" s="1"/>
      <c r="L66" s="4"/>
      <c r="M66" s="4"/>
      <c r="N66" s="4"/>
    </row>
    <row r="67" spans="11:14" x14ac:dyDescent="0.25">
      <c r="K67" s="1"/>
      <c r="L67" s="4"/>
      <c r="M67" s="4"/>
      <c r="N67" s="4"/>
    </row>
    <row r="68" spans="11:14" x14ac:dyDescent="0.25">
      <c r="K68" s="1"/>
      <c r="L68" s="4"/>
      <c r="M68" s="4"/>
      <c r="N68" s="4"/>
    </row>
    <row r="69" spans="11:14" x14ac:dyDescent="0.25">
      <c r="K69" s="1"/>
      <c r="L69" s="4"/>
      <c r="M69" s="4"/>
      <c r="N69" s="4"/>
    </row>
    <row r="70" spans="11:14" x14ac:dyDescent="0.25">
      <c r="K70" s="1"/>
      <c r="L70" s="4"/>
      <c r="M70" s="4"/>
      <c r="N70" s="4"/>
    </row>
    <row r="71" spans="11:14" x14ac:dyDescent="0.25">
      <c r="K71" s="1"/>
      <c r="L71" s="4"/>
      <c r="M71" s="4"/>
      <c r="N71" s="4"/>
    </row>
    <row r="72" spans="11:14" x14ac:dyDescent="0.25">
      <c r="K72" s="1"/>
      <c r="L72" s="4"/>
      <c r="M72" s="4"/>
      <c r="N72" s="4"/>
    </row>
    <row r="73" spans="11:14" x14ac:dyDescent="0.25">
      <c r="K73" s="1"/>
      <c r="L73" s="4"/>
      <c r="M73" s="4"/>
      <c r="N73" s="4"/>
    </row>
    <row r="74" spans="11:14" x14ac:dyDescent="0.25">
      <c r="K74" s="1"/>
      <c r="L74" s="4"/>
      <c r="M74" s="4"/>
      <c r="N74" s="4"/>
    </row>
    <row r="75" spans="11:14" x14ac:dyDescent="0.25">
      <c r="K75" s="1"/>
      <c r="L75" s="4"/>
      <c r="M75" s="4"/>
      <c r="N75" s="4"/>
    </row>
    <row r="76" spans="11:14" x14ac:dyDescent="0.25">
      <c r="K76" s="1"/>
      <c r="L76" s="4"/>
      <c r="M76" s="4"/>
      <c r="N76" s="4"/>
    </row>
    <row r="77" spans="11:14" x14ac:dyDescent="0.25">
      <c r="K77" s="1"/>
      <c r="L77" s="4"/>
      <c r="M77" s="4"/>
      <c r="N77" s="4"/>
    </row>
    <row r="78" spans="11:14" x14ac:dyDescent="0.25">
      <c r="K78" s="1"/>
      <c r="L78" s="4"/>
      <c r="M78" s="4"/>
      <c r="N78" s="4"/>
    </row>
    <row r="79" spans="11:14" x14ac:dyDescent="0.25">
      <c r="K79" s="1"/>
      <c r="L79" s="4"/>
      <c r="M79" s="4"/>
      <c r="N79" s="4"/>
    </row>
    <row r="80" spans="11:14" x14ac:dyDescent="0.25">
      <c r="K80" s="1"/>
      <c r="L80" s="4"/>
      <c r="M80" s="4"/>
      <c r="N80" s="4"/>
    </row>
    <row r="81" spans="11:14" x14ac:dyDescent="0.25">
      <c r="K81" s="1"/>
      <c r="L81" s="4"/>
      <c r="M81" s="4"/>
      <c r="N81" s="4"/>
    </row>
    <row r="82" spans="11:14" x14ac:dyDescent="0.25">
      <c r="K82" s="1"/>
      <c r="L82" s="4"/>
      <c r="M82" s="4"/>
      <c r="N82" s="4"/>
    </row>
    <row r="83" spans="11:14" x14ac:dyDescent="0.25">
      <c r="K83" s="1"/>
      <c r="L83" s="4"/>
      <c r="M83" s="4"/>
      <c r="N83" s="4"/>
    </row>
    <row r="84" spans="11:14" x14ac:dyDescent="0.25">
      <c r="K84" s="1"/>
      <c r="L84" s="4"/>
      <c r="M84" s="4"/>
      <c r="N84" s="4"/>
    </row>
    <row r="85" spans="11:14" x14ac:dyDescent="0.25">
      <c r="K85" s="1"/>
      <c r="L85" s="4"/>
      <c r="M85" s="4"/>
      <c r="N85" s="4"/>
    </row>
    <row r="86" spans="11:14" x14ac:dyDescent="0.25">
      <c r="K86" s="1"/>
      <c r="L86" s="4"/>
      <c r="M86" s="4"/>
      <c r="N86" s="4"/>
    </row>
    <row r="87" spans="11:14" x14ac:dyDescent="0.25">
      <c r="K87" s="1"/>
      <c r="L87" s="4"/>
      <c r="M87" s="4"/>
      <c r="N87" s="4"/>
    </row>
    <row r="88" spans="11:14" x14ac:dyDescent="0.25">
      <c r="K88" s="1"/>
      <c r="L88" s="4"/>
      <c r="M88" s="4"/>
      <c r="N88" s="4"/>
    </row>
    <row r="89" spans="11:14" x14ac:dyDescent="0.25">
      <c r="K89" s="1"/>
      <c r="L89" s="4"/>
      <c r="M89" s="4"/>
      <c r="N89" s="4"/>
    </row>
    <row r="90" spans="11:14" x14ac:dyDescent="0.25">
      <c r="K90" s="1"/>
      <c r="L90" s="4"/>
      <c r="M90" s="4"/>
      <c r="N90" s="4"/>
    </row>
    <row r="91" spans="11:14" x14ac:dyDescent="0.25">
      <c r="K91" s="1"/>
      <c r="L91" s="4"/>
      <c r="M91" s="4"/>
      <c r="N91" s="4"/>
    </row>
    <row r="92" spans="11:14" x14ac:dyDescent="0.25">
      <c r="K92" s="1"/>
      <c r="L92" s="4"/>
      <c r="M92" s="4"/>
      <c r="N92" s="4"/>
    </row>
    <row r="93" spans="11:14" x14ac:dyDescent="0.25">
      <c r="K93" s="1"/>
      <c r="L93" s="4"/>
      <c r="M93" s="4"/>
      <c r="N93" s="4"/>
    </row>
    <row r="94" spans="11:14" x14ac:dyDescent="0.25">
      <c r="K94" s="1"/>
      <c r="L94" s="4"/>
      <c r="M94" s="4"/>
      <c r="N94" s="4"/>
    </row>
    <row r="95" spans="11:14" x14ac:dyDescent="0.25">
      <c r="K95" s="1"/>
      <c r="L95" s="4"/>
      <c r="M95" s="4"/>
      <c r="N95" s="4"/>
    </row>
    <row r="96" spans="11:14" x14ac:dyDescent="0.25">
      <c r="K96" s="1"/>
      <c r="L96" s="4"/>
      <c r="M96" s="4"/>
      <c r="N96" s="4"/>
    </row>
    <row r="97" spans="11:14" x14ac:dyDescent="0.25">
      <c r="K97" s="1"/>
      <c r="L97" s="4"/>
      <c r="M97" s="4"/>
      <c r="N97" s="4"/>
    </row>
    <row r="98" spans="11:14" x14ac:dyDescent="0.25">
      <c r="K98" s="1"/>
      <c r="L98" s="4"/>
      <c r="M98" s="4"/>
      <c r="N98" s="4"/>
    </row>
    <row r="99" spans="11:14" x14ac:dyDescent="0.25">
      <c r="K99" s="1"/>
      <c r="L99" s="4"/>
      <c r="M99" s="4"/>
      <c r="N99" s="4"/>
    </row>
    <row r="100" spans="11:14" x14ac:dyDescent="0.25">
      <c r="K100" s="1"/>
      <c r="L100" s="4"/>
      <c r="M100" s="4"/>
      <c r="N100" s="4"/>
    </row>
    <row r="101" spans="11:14" x14ac:dyDescent="0.25">
      <c r="K101" s="1"/>
      <c r="L101" s="4"/>
      <c r="M101" s="4"/>
      <c r="N101" s="4"/>
    </row>
  </sheetData>
  <sheetProtection formatCells="0" formatColumns="0" formatRows="0" insertColumns="0" insertRows="0" insertHyperlinks="0" deleteColumns="0" deleteRows="0" sort="0" autoFilter="0" pivotTables="0"/>
  <conditionalFormatting sqref="A2:O51">
    <cfRule type="expression" dxfId="73" priority="5">
      <formula>AND($I2&gt;$Q$7,$O2="igen")</formula>
    </cfRule>
    <cfRule type="expression" dxfId="72" priority="6">
      <formula>$B2="Volkswagen"</formula>
    </cfRule>
    <cfRule type="expression" dxfId="71" priority="7">
      <formula>$L2&gt;16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E2D1-0BC1-4FE3-B4B0-65095F5BE5A1}">
  <dimension ref="A1:Z101"/>
  <sheetViews>
    <sheetView workbookViewId="0">
      <selection activeCell="U28" sqref="U28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4.7109375" customWidth="1"/>
    <col min="4" max="4" width="21.85546875" style="3" bestFit="1" customWidth="1"/>
    <col min="5" max="5" width="21.85546875" style="3" hidden="1" customWidth="1"/>
    <col min="6" max="6" width="13.7109375" bestFit="1" customWidth="1"/>
    <col min="7" max="7" width="8" customWidth="1"/>
    <col min="8" max="8" width="14.28515625" customWidth="1"/>
    <col min="9" max="9" width="11.140625" customWidth="1"/>
    <col min="10" max="11" width="14.28515625" customWidth="1"/>
    <col min="12" max="12" width="12.28515625" customWidth="1"/>
    <col min="13" max="14" width="13.28515625" style="3" customWidth="1"/>
    <col min="15" max="15" width="15.42578125" style="3" customWidth="1"/>
    <col min="16" max="16" width="11.7109375" customWidth="1"/>
    <col min="18" max="18" width="11.28515625" customWidth="1"/>
    <col min="19" max="19" width="2.28515625" customWidth="1"/>
    <col min="20" max="20" width="11.7109375" bestFit="1" customWidth="1"/>
    <col min="21" max="21" width="14.7109375" customWidth="1"/>
    <col min="22" max="22" width="2.28515625" customWidth="1"/>
    <col min="23" max="23" width="18.140625" customWidth="1"/>
    <col min="24" max="24" width="17.85546875" customWidth="1"/>
  </cols>
  <sheetData>
    <row r="1" spans="1:26" s="5" customFormat="1" ht="45" x14ac:dyDescent="0.25">
      <c r="A1" s="19" t="s">
        <v>134</v>
      </c>
      <c r="B1" s="20" t="s">
        <v>31</v>
      </c>
      <c r="C1" s="20" t="s">
        <v>116</v>
      </c>
      <c r="D1" s="20" t="s">
        <v>113</v>
      </c>
      <c r="E1" s="20" t="s">
        <v>140</v>
      </c>
      <c r="F1" s="20" t="s">
        <v>30</v>
      </c>
      <c r="G1" s="20" t="s">
        <v>110</v>
      </c>
      <c r="H1" s="20" t="s">
        <v>109</v>
      </c>
      <c r="I1" s="20" t="s">
        <v>112</v>
      </c>
      <c r="J1" s="20" t="s">
        <v>111</v>
      </c>
      <c r="K1" s="20" t="s">
        <v>115</v>
      </c>
      <c r="L1" s="20" t="s">
        <v>136</v>
      </c>
      <c r="M1" s="20" t="s">
        <v>137</v>
      </c>
      <c r="N1" s="20" t="s">
        <v>138</v>
      </c>
      <c r="O1" s="20" t="s">
        <v>139</v>
      </c>
      <c r="P1" s="21" t="s">
        <v>2</v>
      </c>
      <c r="R1" s="16" t="s">
        <v>49</v>
      </c>
      <c r="S1" s="13"/>
      <c r="T1" s="27" t="s">
        <v>31</v>
      </c>
      <c r="U1" s="25" t="s">
        <v>116</v>
      </c>
      <c r="V1" s="13"/>
      <c r="W1" s="13" t="s">
        <v>30</v>
      </c>
      <c r="X1" s="13" t="s">
        <v>114</v>
      </c>
      <c r="Y1"/>
      <c r="Z1"/>
    </row>
    <row r="2" spans="1:26" x14ac:dyDescent="0.25">
      <c r="A2" t="s">
        <v>78</v>
      </c>
      <c r="B2" s="2" t="s">
        <v>41</v>
      </c>
      <c r="C2" t="str">
        <f>INDEX(Típusok3[],MATCH(Rendelések3[[#This Row],[Típus]],Típusok3[Típus],0),2)</f>
        <v>CT-117</v>
      </c>
      <c r="D2" s="14" t="str">
        <f>INDEX(Országok3[],MATCH(Rendelések3[[#This Row],[Célország]],Országok3[Célország],0),2)</f>
        <v>Brent Brennan</v>
      </c>
      <c r="E2" s="14" t="s">
        <v>142</v>
      </c>
      <c r="F2" t="s">
        <v>7</v>
      </c>
      <c r="G2" s="12" t="str">
        <f>IF(Rendelések3[[#This Row],[Max. várakozási idő]]&lt;10,"!","")</f>
        <v/>
      </c>
      <c r="H2" s="9">
        <v>44331</v>
      </c>
      <c r="I2" s="10">
        <v>16</v>
      </c>
      <c r="J2" s="9">
        <f>Rendelések3[[#This Row],[Rendelés dátuma]]+minimum</f>
        <v>44336</v>
      </c>
      <c r="K2" s="9">
        <f>Rendelések3[[#This Row],[Rendelés dátuma]]+Rendelések3[[#This Row],[Max. várakozási idő]]</f>
        <v>44347</v>
      </c>
      <c r="L2" s="22">
        <v>14200</v>
      </c>
      <c r="M2" s="28">
        <v>15</v>
      </c>
      <c r="N2" s="22">
        <f>Rendelések3[[#This Row],[Egységár (euró)]]*Rendelések3[[#This Row],[Rendelt mennyiség]]</f>
        <v>213000</v>
      </c>
      <c r="O2" s="24">
        <f>Rendelések3[[#This Row],[Fizetendő (euró)]]*$R$2</f>
        <v>76680000</v>
      </c>
      <c r="P2" s="7" t="s">
        <v>0</v>
      </c>
      <c r="R2" s="18">
        <v>360</v>
      </c>
      <c r="S2" s="1"/>
      <c r="T2" s="6" t="s">
        <v>34</v>
      </c>
      <c r="U2" s="26" t="s">
        <v>117</v>
      </c>
      <c r="V2" s="1"/>
      <c r="W2" s="6" t="s">
        <v>3</v>
      </c>
      <c r="X2" s="6" t="s">
        <v>55</v>
      </c>
    </row>
    <row r="3" spans="1:26" x14ac:dyDescent="0.25">
      <c r="A3" t="s">
        <v>81</v>
      </c>
      <c r="B3" s="2" t="s">
        <v>48</v>
      </c>
      <c r="C3" t="str">
        <f>INDEX(Típusok3[],MATCH(Rendelések3[[#This Row],[Típus]],Típusok3[Típus],0),2)</f>
        <v>CT-112</v>
      </c>
      <c r="D3" s="14" t="str">
        <f>INDEX(Országok3[],MATCH(Rendelések3[[#This Row],[Célország]],Országok3[Célország],0),2)</f>
        <v>Brent Brennan</v>
      </c>
      <c r="E3" s="14" t="s">
        <v>142</v>
      </c>
      <c r="F3" t="s">
        <v>7</v>
      </c>
      <c r="G3" s="12" t="str">
        <f>IF(Rendelések3[[#This Row],[Max. várakozási idő]]&lt;10,"!","")</f>
        <v/>
      </c>
      <c r="H3" s="9">
        <v>44398</v>
      </c>
      <c r="I3" s="10">
        <v>20</v>
      </c>
      <c r="J3" s="9">
        <f>Rendelések3[[#This Row],[Rendelés dátuma]]+minimum</f>
        <v>44403</v>
      </c>
      <c r="K3" s="9">
        <f>Rendelések3[[#This Row],[Rendelés dátuma]]+Rendelések3[[#This Row],[Max. várakozási idő]]</f>
        <v>44418</v>
      </c>
      <c r="L3" s="22">
        <v>13300</v>
      </c>
      <c r="M3" s="28">
        <v>16</v>
      </c>
      <c r="N3" s="22">
        <f>Rendelések3[[#This Row],[Egységár (euró)]]*Rendelések3[[#This Row],[Rendelt mennyiség]]</f>
        <v>212800</v>
      </c>
      <c r="O3" s="24">
        <f>Rendelések3[[#This Row],[Fizetendő (euró)]]*$R$2</f>
        <v>76608000</v>
      </c>
      <c r="P3" s="7" t="s">
        <v>0</v>
      </c>
      <c r="T3" s="6" t="s">
        <v>35</v>
      </c>
      <c r="U3" s="26" t="s">
        <v>118</v>
      </c>
      <c r="W3" s="6" t="s">
        <v>4</v>
      </c>
      <c r="X3" s="6" t="s">
        <v>54</v>
      </c>
    </row>
    <row r="4" spans="1:26" x14ac:dyDescent="0.25">
      <c r="A4" t="s">
        <v>60</v>
      </c>
      <c r="B4" s="2" t="s">
        <v>40</v>
      </c>
      <c r="C4" t="str">
        <f>INDEX(Típusok3[],MATCH(Rendelések3[[#This Row],[Típus]],Típusok3[Típus],0),2)</f>
        <v>CT-107</v>
      </c>
      <c r="D4" s="14" t="str">
        <f>INDEX(Országok3[],MATCH(Rendelések3[[#This Row],[Célország]],Országok3[Célország],0),2)</f>
        <v>Brent Brennan</v>
      </c>
      <c r="E4" s="14" t="s">
        <v>142</v>
      </c>
      <c r="F4" t="s">
        <v>7</v>
      </c>
      <c r="G4" s="12" t="str">
        <f>IF(Rendelések3[[#This Row],[Max. várakozási idő]]&lt;10,"!","")</f>
        <v/>
      </c>
      <c r="H4" s="9">
        <v>44112</v>
      </c>
      <c r="I4" s="10">
        <v>15</v>
      </c>
      <c r="J4" s="9">
        <f>Rendelések3[[#This Row],[Rendelés dátuma]]+minimum</f>
        <v>44117</v>
      </c>
      <c r="K4" s="9">
        <f>Rendelések3[[#This Row],[Rendelés dátuma]]+Rendelések3[[#This Row],[Max. várakozási idő]]</f>
        <v>44127</v>
      </c>
      <c r="L4" s="22">
        <v>14300</v>
      </c>
      <c r="M4" s="28">
        <v>14</v>
      </c>
      <c r="N4" s="22">
        <f>Rendelések3[[#This Row],[Egységár (euró)]]*Rendelések3[[#This Row],[Rendelt mennyiség]]</f>
        <v>200200</v>
      </c>
      <c r="O4" s="24">
        <f>Rendelések3[[#This Row],[Fizetendő (euró)]]*$R$2</f>
        <v>72072000</v>
      </c>
      <c r="P4" s="7" t="s">
        <v>0</v>
      </c>
      <c r="R4" s="29" t="s">
        <v>135</v>
      </c>
      <c r="S4" s="17"/>
      <c r="T4" s="6" t="s">
        <v>43</v>
      </c>
      <c r="U4" s="26" t="s">
        <v>119</v>
      </c>
      <c r="V4" s="17"/>
      <c r="W4" s="6" t="s">
        <v>5</v>
      </c>
      <c r="X4" s="6" t="s">
        <v>50</v>
      </c>
    </row>
    <row r="5" spans="1:26" x14ac:dyDescent="0.25">
      <c r="A5" t="s">
        <v>103</v>
      </c>
      <c r="B5" s="2" t="s">
        <v>43</v>
      </c>
      <c r="C5" t="str">
        <f>INDEX(Típusok3[],MATCH(Rendelések3[[#This Row],[Típus]],Típusok3[Típus],0),2)</f>
        <v>CT-103</v>
      </c>
      <c r="D5" s="14" t="str">
        <f>INDEX(Országok3[],MATCH(Rendelések3[[#This Row],[Célország]],Országok3[Célország],0),2)</f>
        <v>Brent Brennan</v>
      </c>
      <c r="E5" s="14" t="s">
        <v>142</v>
      </c>
      <c r="F5" t="s">
        <v>16</v>
      </c>
      <c r="G5" s="12" t="str">
        <f>IF(Rendelések3[[#This Row],[Max. várakozási idő]]&lt;10,"!","")</f>
        <v>!</v>
      </c>
      <c r="H5" s="9">
        <v>44722</v>
      </c>
      <c r="I5" s="10">
        <v>6</v>
      </c>
      <c r="J5" s="9">
        <f>Rendelések3[[#This Row],[Rendelés dátuma]]+minimum</f>
        <v>44727</v>
      </c>
      <c r="K5" s="9">
        <f>Rendelések3[[#This Row],[Rendelés dátuma]]+Rendelések3[[#This Row],[Max. várakozási idő]]</f>
        <v>44728</v>
      </c>
      <c r="L5" s="22">
        <v>13800</v>
      </c>
      <c r="M5" s="28">
        <v>17</v>
      </c>
      <c r="N5" s="22">
        <f>Rendelések3[[#This Row],[Egységár (euró)]]*Rendelések3[[#This Row],[Rendelt mennyiség]]</f>
        <v>234600</v>
      </c>
      <c r="O5" s="24">
        <f>Rendelések3[[#This Row],[Fizetendő (euró)]]*$R$2</f>
        <v>84456000</v>
      </c>
      <c r="P5" s="7" t="s">
        <v>0</v>
      </c>
      <c r="R5" s="30">
        <v>5</v>
      </c>
      <c r="S5" s="15"/>
      <c r="T5" s="6" t="s">
        <v>38</v>
      </c>
      <c r="U5" s="26" t="s">
        <v>120</v>
      </c>
      <c r="V5" s="15"/>
      <c r="W5" s="6" t="s">
        <v>6</v>
      </c>
      <c r="X5" s="6" t="s">
        <v>56</v>
      </c>
    </row>
    <row r="6" spans="1:26" x14ac:dyDescent="0.25">
      <c r="A6" t="s">
        <v>104</v>
      </c>
      <c r="B6" s="2" t="s">
        <v>36</v>
      </c>
      <c r="C6" t="str">
        <f>INDEX(Típusok3[],MATCH(Rendelések3[[#This Row],[Típus]],Típusok3[Típus],0),2)</f>
        <v>CT-115</v>
      </c>
      <c r="D6" s="14" t="str">
        <f>INDEX(Országok3[],MATCH(Rendelések3[[#This Row],[Célország]],Országok3[Célország],0),2)</f>
        <v>Brent Brennan</v>
      </c>
      <c r="E6" s="14" t="s">
        <v>142</v>
      </c>
      <c r="F6" t="s">
        <v>16</v>
      </c>
      <c r="G6" s="12" t="str">
        <f>IF(Rendelések3[[#This Row],[Max. várakozási idő]]&lt;10,"!","")</f>
        <v/>
      </c>
      <c r="H6" s="9">
        <v>44609</v>
      </c>
      <c r="I6" s="10">
        <v>17</v>
      </c>
      <c r="J6" s="9">
        <f>Rendelések3[[#This Row],[Rendelés dátuma]]+minimum</f>
        <v>44614</v>
      </c>
      <c r="K6" s="9">
        <f>Rendelések3[[#This Row],[Rendelés dátuma]]+Rendelések3[[#This Row],[Max. várakozási idő]]</f>
        <v>44626</v>
      </c>
      <c r="L6" s="22">
        <v>10800</v>
      </c>
      <c r="M6" s="28">
        <v>14</v>
      </c>
      <c r="N6" s="22">
        <f>Rendelések3[[#This Row],[Egységár (euró)]]*Rendelések3[[#This Row],[Rendelt mennyiség]]</f>
        <v>151200</v>
      </c>
      <c r="O6" s="24">
        <f>Rendelések3[[#This Row],[Fizetendő (euró)]]*$R$2</f>
        <v>54432000</v>
      </c>
      <c r="P6" s="7" t="s">
        <v>0</v>
      </c>
      <c r="T6" s="6" t="s">
        <v>47</v>
      </c>
      <c r="U6" s="26" t="s">
        <v>121</v>
      </c>
      <c r="W6" s="6" t="s">
        <v>7</v>
      </c>
      <c r="X6" s="6" t="s">
        <v>58</v>
      </c>
    </row>
    <row r="7" spans="1:26" x14ac:dyDescent="0.25">
      <c r="A7" t="s">
        <v>92</v>
      </c>
      <c r="B7" s="2" t="s">
        <v>44</v>
      </c>
      <c r="C7" t="str">
        <f>INDEX(Típusok3[],MATCH(Rendelések3[[#This Row],[Típus]],Típusok3[Típus],0),2)</f>
        <v>CT-106</v>
      </c>
      <c r="D7" s="14" t="str">
        <f>INDEX(Országok3[],MATCH(Rendelések3[[#This Row],[Célország]],Országok3[Célország],0),2)</f>
        <v>Brent Brennan</v>
      </c>
      <c r="E7" s="14" t="s">
        <v>142</v>
      </c>
      <c r="F7" t="s">
        <v>16</v>
      </c>
      <c r="G7" s="12" t="str">
        <f>IF(Rendelések3[[#This Row],[Max. várakozási idő]]&lt;10,"!","")</f>
        <v>!</v>
      </c>
      <c r="H7" s="9">
        <v>44155</v>
      </c>
      <c r="I7" s="10">
        <v>9</v>
      </c>
      <c r="J7" s="9">
        <f>Rendelések3[[#This Row],[Rendelés dátuma]]+minimum</f>
        <v>44160</v>
      </c>
      <c r="K7" s="9">
        <f>Rendelések3[[#This Row],[Rendelés dátuma]]+Rendelések3[[#This Row],[Max. várakozási idő]]</f>
        <v>44164</v>
      </c>
      <c r="L7" s="22">
        <v>9400</v>
      </c>
      <c r="M7" s="28">
        <v>14</v>
      </c>
      <c r="N7" s="22">
        <f>Rendelések3[[#This Row],[Egységár (euró)]]*Rendelések3[[#This Row],[Rendelt mennyiség]]</f>
        <v>131600</v>
      </c>
      <c r="O7" s="24">
        <f>Rendelések3[[#This Row],[Fizetendő (euró)]]*$R$2</f>
        <v>47376000</v>
      </c>
      <c r="P7" s="7" t="s">
        <v>1</v>
      </c>
      <c r="T7" s="6" t="s">
        <v>44</v>
      </c>
      <c r="U7" s="26" t="s">
        <v>122</v>
      </c>
      <c r="W7" s="6" t="s">
        <v>8</v>
      </c>
      <c r="X7" s="6" t="s">
        <v>53</v>
      </c>
    </row>
    <row r="8" spans="1:26" x14ac:dyDescent="0.25">
      <c r="A8" t="s">
        <v>63</v>
      </c>
      <c r="B8" s="2" t="s">
        <v>33</v>
      </c>
      <c r="C8" t="str">
        <f>INDEX(Típusok3[],MATCH(Rendelések3[[#This Row],[Típus]],Típusok3[Típus],0),2)</f>
        <v>CT-108</v>
      </c>
      <c r="D8" s="14" t="str">
        <f>INDEX(Országok3[],MATCH(Rendelések3[[#This Row],[Célország]],Országok3[Célország],0),2)</f>
        <v>Brent Brennan</v>
      </c>
      <c r="E8" s="14" t="s">
        <v>142</v>
      </c>
      <c r="F8" t="s">
        <v>20</v>
      </c>
      <c r="G8" s="12" t="str">
        <f>IF(Rendelések3[[#This Row],[Max. várakozási idő]]&lt;10,"!","")</f>
        <v>!</v>
      </c>
      <c r="H8" s="9">
        <v>44657</v>
      </c>
      <c r="I8" s="10">
        <v>9</v>
      </c>
      <c r="J8" s="9">
        <f>Rendelések3[[#This Row],[Rendelés dátuma]]+minimum</f>
        <v>44662</v>
      </c>
      <c r="K8" s="9">
        <f>Rendelések3[[#This Row],[Rendelés dátuma]]+Rendelések3[[#This Row],[Max. várakozási idő]]</f>
        <v>44666</v>
      </c>
      <c r="L8" s="22">
        <v>13600</v>
      </c>
      <c r="M8" s="28">
        <v>15</v>
      </c>
      <c r="N8" s="22">
        <f>Rendelések3[[#This Row],[Egységár (euró)]]*Rendelések3[[#This Row],[Rendelt mennyiség]]</f>
        <v>204000</v>
      </c>
      <c r="O8" s="24">
        <f>Rendelések3[[#This Row],[Fizetendő (euró)]]*$R$2</f>
        <v>73440000</v>
      </c>
      <c r="P8" s="7" t="s">
        <v>1</v>
      </c>
      <c r="T8" s="6" t="s">
        <v>40</v>
      </c>
      <c r="U8" s="26" t="s">
        <v>123</v>
      </c>
      <c r="W8" s="6" t="s">
        <v>9</v>
      </c>
      <c r="X8" s="6" t="s">
        <v>54</v>
      </c>
    </row>
    <row r="9" spans="1:26" x14ac:dyDescent="0.25">
      <c r="A9" t="s">
        <v>105</v>
      </c>
      <c r="B9" s="2" t="s">
        <v>41</v>
      </c>
      <c r="C9" t="str">
        <f>INDEX(Típusok3[],MATCH(Rendelések3[[#This Row],[Típus]],Típusok3[Típus],0),2)</f>
        <v>CT-117</v>
      </c>
      <c r="D9" s="14" t="str">
        <f>INDEX(Országok3[],MATCH(Rendelések3[[#This Row],[Célország]],Országok3[Célország],0),2)</f>
        <v>Brent Brennan</v>
      </c>
      <c r="E9" s="14" t="s">
        <v>142</v>
      </c>
      <c r="F9" t="s">
        <v>20</v>
      </c>
      <c r="G9" s="12" t="str">
        <f>IF(Rendelések3[[#This Row],[Max. várakozási idő]]&lt;10,"!","")</f>
        <v/>
      </c>
      <c r="H9" s="9">
        <v>44717</v>
      </c>
      <c r="I9" s="10">
        <v>28</v>
      </c>
      <c r="J9" s="9">
        <f>Rendelések3[[#This Row],[Rendelés dátuma]]+minimum</f>
        <v>44722</v>
      </c>
      <c r="K9" s="9">
        <f>Rendelések3[[#This Row],[Rendelés dátuma]]+Rendelések3[[#This Row],[Max. várakozási idő]]</f>
        <v>44745</v>
      </c>
      <c r="L9" s="22">
        <v>9700</v>
      </c>
      <c r="M9" s="28">
        <v>16</v>
      </c>
      <c r="N9" s="22">
        <f>Rendelések3[[#This Row],[Egységár (euró)]]*Rendelések3[[#This Row],[Rendelt mennyiség]]</f>
        <v>155200</v>
      </c>
      <c r="O9" s="24">
        <f>Rendelések3[[#This Row],[Fizetendő (euró)]]*$R$2</f>
        <v>55872000</v>
      </c>
      <c r="P9" s="7" t="s">
        <v>1</v>
      </c>
      <c r="T9" s="6" t="s">
        <v>33</v>
      </c>
      <c r="U9" s="26" t="s">
        <v>124</v>
      </c>
      <c r="W9" s="6" t="s">
        <v>10</v>
      </c>
      <c r="X9" s="6" t="s">
        <v>52</v>
      </c>
    </row>
    <row r="10" spans="1:26" x14ac:dyDescent="0.25">
      <c r="A10" t="s">
        <v>62</v>
      </c>
      <c r="B10" s="2" t="s">
        <v>38</v>
      </c>
      <c r="C10" t="str">
        <f>INDEX(Típusok3[],MATCH(Rendelések3[[#This Row],[Típus]],Típusok3[Típus],0),2)</f>
        <v>CT-104</v>
      </c>
      <c r="D10" s="14" t="str">
        <f>INDEX(Országok3[],MATCH(Rendelések3[[#This Row],[Célország]],Országok3[Célország],0),2)</f>
        <v>Brent Brennan</v>
      </c>
      <c r="E10" s="14" t="s">
        <v>142</v>
      </c>
      <c r="F10" t="s">
        <v>20</v>
      </c>
      <c r="G10" s="12" t="str">
        <f>IF(Rendelések3[[#This Row],[Max. várakozási idő]]&lt;10,"!","")</f>
        <v/>
      </c>
      <c r="H10" s="9">
        <v>44751</v>
      </c>
      <c r="I10" s="10">
        <v>15</v>
      </c>
      <c r="J10" s="9">
        <f>Rendelések3[[#This Row],[Rendelés dátuma]]+minimum</f>
        <v>44756</v>
      </c>
      <c r="K10" s="9">
        <f>Rendelések3[[#This Row],[Rendelés dátuma]]+Rendelések3[[#This Row],[Max. várakozási idő]]</f>
        <v>44766</v>
      </c>
      <c r="L10" s="22">
        <v>10100</v>
      </c>
      <c r="M10" s="28">
        <v>15</v>
      </c>
      <c r="N10" s="22">
        <f>Rendelések3[[#This Row],[Egységár (euró)]]*Rendelések3[[#This Row],[Rendelt mennyiség]]</f>
        <v>151500</v>
      </c>
      <c r="O10" s="24">
        <f>Rendelések3[[#This Row],[Fizetendő (euró)]]*$R$2</f>
        <v>54540000</v>
      </c>
      <c r="P10" s="7" t="s">
        <v>0</v>
      </c>
      <c r="T10" s="6" t="s">
        <v>45</v>
      </c>
      <c r="U10" s="26" t="s">
        <v>125</v>
      </c>
      <c r="W10" s="6" t="s">
        <v>11</v>
      </c>
      <c r="X10" s="6" t="s">
        <v>52</v>
      </c>
    </row>
    <row r="11" spans="1:26" x14ac:dyDescent="0.25">
      <c r="A11" t="s">
        <v>85</v>
      </c>
      <c r="B11" s="2" t="s">
        <v>47</v>
      </c>
      <c r="C11" t="str">
        <f>INDEX(Típusok3[],MATCH(Rendelések3[[#This Row],[Típus]],Típusok3[Típus],0),2)</f>
        <v>CT-105</v>
      </c>
      <c r="D11" s="14" t="str">
        <f>INDEX(Országok3[],MATCH(Rendelések3[[#This Row],[Célország]],Országok3[Célország],0),2)</f>
        <v>Lars Cobb</v>
      </c>
      <c r="E11" s="14" t="s">
        <v>149</v>
      </c>
      <c r="F11" t="s">
        <v>8</v>
      </c>
      <c r="G11" s="12" t="str">
        <f>IF(Rendelések3[[#This Row],[Max. várakozási idő]]&lt;10,"!","")</f>
        <v/>
      </c>
      <c r="H11" s="9">
        <v>44509</v>
      </c>
      <c r="I11" s="10">
        <v>16</v>
      </c>
      <c r="J11" s="9">
        <f>Rendelések3[[#This Row],[Rendelés dátuma]]+minimum</f>
        <v>44514</v>
      </c>
      <c r="K11" s="9">
        <f>Rendelések3[[#This Row],[Rendelés dátuma]]+Rendelések3[[#This Row],[Max. várakozási idő]]</f>
        <v>44525</v>
      </c>
      <c r="L11" s="22">
        <v>14100</v>
      </c>
      <c r="M11" s="28">
        <v>14</v>
      </c>
      <c r="N11" s="22">
        <f>Rendelések3[[#This Row],[Egységár (euró)]]*Rendelések3[[#This Row],[Rendelt mennyiség]]</f>
        <v>197400</v>
      </c>
      <c r="O11" s="24">
        <f>Rendelések3[[#This Row],[Fizetendő (euró)]]*$R$2</f>
        <v>71064000</v>
      </c>
      <c r="P11" s="7" t="s">
        <v>0</v>
      </c>
      <c r="T11" s="6" t="s">
        <v>37</v>
      </c>
      <c r="U11" s="26" t="s">
        <v>126</v>
      </c>
      <c r="W11" s="6" t="s">
        <v>12</v>
      </c>
      <c r="X11" s="6" t="s">
        <v>51</v>
      </c>
    </row>
    <row r="12" spans="1:26" x14ac:dyDescent="0.25">
      <c r="A12" t="s">
        <v>83</v>
      </c>
      <c r="B12" s="2" t="s">
        <v>48</v>
      </c>
      <c r="C12" t="str">
        <f>INDEX(Típusok3[],MATCH(Rendelések3[[#This Row],[Típus]],Típusok3[Típus],0),2)</f>
        <v>CT-112</v>
      </c>
      <c r="D12" s="14" t="str">
        <f>INDEX(Országok3[],MATCH(Rendelések3[[#This Row],[Célország]],Országok3[Célország],0),2)</f>
        <v>Lars Cobb</v>
      </c>
      <c r="E12" s="14" t="s">
        <v>149</v>
      </c>
      <c r="F12" t="s">
        <v>8</v>
      </c>
      <c r="G12" s="12" t="str">
        <f>IF(Rendelések3[[#This Row],[Max. várakozási idő]]&lt;10,"!","")</f>
        <v/>
      </c>
      <c r="H12" s="9">
        <v>44145</v>
      </c>
      <c r="I12" s="10">
        <v>24</v>
      </c>
      <c r="J12" s="9">
        <f>Rendelések3[[#This Row],[Rendelés dátuma]]+minimum</f>
        <v>44150</v>
      </c>
      <c r="K12" s="9">
        <f>Rendelések3[[#This Row],[Rendelés dátuma]]+Rendelések3[[#This Row],[Max. várakozási idő]]</f>
        <v>44169</v>
      </c>
      <c r="L12" s="22">
        <v>12300</v>
      </c>
      <c r="M12" s="28">
        <v>14</v>
      </c>
      <c r="N12" s="22">
        <f>Rendelések3[[#This Row],[Egységár (euró)]]*Rendelések3[[#This Row],[Rendelt mennyiség]]</f>
        <v>172200</v>
      </c>
      <c r="O12" s="24">
        <f>Rendelések3[[#This Row],[Fizetendő (euró)]]*$R$2</f>
        <v>61992000</v>
      </c>
      <c r="P12" s="7" t="s">
        <v>0</v>
      </c>
      <c r="T12" s="6" t="s">
        <v>32</v>
      </c>
      <c r="U12" s="26" t="s">
        <v>127</v>
      </c>
      <c r="W12" s="6" t="s">
        <v>13</v>
      </c>
      <c r="X12" s="6" t="s">
        <v>51</v>
      </c>
    </row>
    <row r="13" spans="1:26" x14ac:dyDescent="0.25">
      <c r="A13" t="s">
        <v>97</v>
      </c>
      <c r="B13" s="2" t="s">
        <v>34</v>
      </c>
      <c r="C13" t="str">
        <f>INDEX(Típusok3[],MATCH(Rendelések3[[#This Row],[Típus]],Típusok3[Típus],0),2)</f>
        <v>CT-101</v>
      </c>
      <c r="D13" s="14" t="str">
        <f>INDEX(Országok3[],MATCH(Rendelések3[[#This Row],[Célország]],Országok3[Célország],0),2)</f>
        <v>Lars Cobb</v>
      </c>
      <c r="E13" s="14" t="s">
        <v>149</v>
      </c>
      <c r="F13" t="s">
        <v>27</v>
      </c>
      <c r="G13" s="12" t="str">
        <f>IF(Rendelések3[[#This Row],[Max. várakozási idő]]&lt;10,"!","")</f>
        <v/>
      </c>
      <c r="H13" s="9">
        <v>44218</v>
      </c>
      <c r="I13" s="10">
        <v>29</v>
      </c>
      <c r="J13" s="9">
        <f>Rendelések3[[#This Row],[Rendelés dátuma]]+minimum</f>
        <v>44223</v>
      </c>
      <c r="K13" s="9">
        <f>Rendelések3[[#This Row],[Rendelés dátuma]]+Rendelések3[[#This Row],[Max. várakozási idő]]</f>
        <v>44247</v>
      </c>
      <c r="L13" s="22">
        <v>9800</v>
      </c>
      <c r="M13" s="28">
        <v>17</v>
      </c>
      <c r="N13" s="22">
        <f>Rendelések3[[#This Row],[Egységár (euró)]]*Rendelések3[[#This Row],[Rendelt mennyiség]]</f>
        <v>166600</v>
      </c>
      <c r="O13" s="24">
        <f>Rendelések3[[#This Row],[Fizetendő (euró)]]*$R$2</f>
        <v>59976000</v>
      </c>
      <c r="P13" s="7" t="s">
        <v>0</v>
      </c>
      <c r="T13" s="6" t="s">
        <v>48</v>
      </c>
      <c r="U13" s="26" t="s">
        <v>128</v>
      </c>
      <c r="W13" s="6" t="s">
        <v>14</v>
      </c>
      <c r="X13" s="6" t="s">
        <v>54</v>
      </c>
    </row>
    <row r="14" spans="1:26" x14ac:dyDescent="0.25">
      <c r="A14" t="s">
        <v>84</v>
      </c>
      <c r="B14" s="2" t="s">
        <v>42</v>
      </c>
      <c r="C14" t="str">
        <f>INDEX(Típusok3[],MATCH(Rendelések3[[#This Row],[Típus]],Típusok3[Típus],0),2)</f>
        <v>CT-113</v>
      </c>
      <c r="D14" s="14" t="str">
        <f>INDEX(Országok3[],MATCH(Rendelések3[[#This Row],[Célország]],Országok3[Célország],0),2)</f>
        <v>Kelly Cook</v>
      </c>
      <c r="E14" s="14" t="s">
        <v>145</v>
      </c>
      <c r="F14" t="s">
        <v>4</v>
      </c>
      <c r="G14" s="12" t="str">
        <f>IF(Rendelések3[[#This Row],[Max. várakozási idő]]&lt;10,"!","")</f>
        <v/>
      </c>
      <c r="H14" s="9">
        <v>44090</v>
      </c>
      <c r="I14" s="10">
        <v>30</v>
      </c>
      <c r="J14" s="9">
        <f>Rendelések3[[#This Row],[Rendelés dátuma]]+minimum</f>
        <v>44095</v>
      </c>
      <c r="K14" s="9">
        <f>Rendelések3[[#This Row],[Rendelés dátuma]]+Rendelések3[[#This Row],[Max. várakozási idő]]</f>
        <v>44120</v>
      </c>
      <c r="L14" s="22">
        <v>10300</v>
      </c>
      <c r="M14" s="28">
        <v>12</v>
      </c>
      <c r="N14" s="22">
        <f>Rendelések3[[#This Row],[Egységár (euró)]]*Rendelések3[[#This Row],[Rendelt mennyiség]]</f>
        <v>123600</v>
      </c>
      <c r="O14" s="24">
        <f>Rendelések3[[#This Row],[Fizetendő (euró)]]*$R$2</f>
        <v>44496000</v>
      </c>
      <c r="P14" s="7" t="s">
        <v>0</v>
      </c>
      <c r="T14" s="6" t="s">
        <v>42</v>
      </c>
      <c r="U14" s="26" t="s">
        <v>129</v>
      </c>
      <c r="W14" s="6" t="s">
        <v>15</v>
      </c>
      <c r="X14" s="6" t="s">
        <v>54</v>
      </c>
    </row>
    <row r="15" spans="1:26" x14ac:dyDescent="0.25">
      <c r="A15" t="s">
        <v>107</v>
      </c>
      <c r="B15" s="2" t="s">
        <v>41</v>
      </c>
      <c r="C15" t="str">
        <f>INDEX(Típusok3[],MATCH(Rendelések3[[#This Row],[Típus]],Típusok3[Típus],0),2)</f>
        <v>CT-117</v>
      </c>
      <c r="D15" s="14" t="str">
        <f>INDEX(Országok3[],MATCH(Rendelések3[[#This Row],[Célország]],Országok3[Célország],0),2)</f>
        <v>Kelly Cook</v>
      </c>
      <c r="E15" s="14" t="s">
        <v>145</v>
      </c>
      <c r="F15" t="s">
        <v>14</v>
      </c>
      <c r="G15" s="12" t="str">
        <f>IF(Rendelések3[[#This Row],[Max. várakozási idő]]&lt;10,"!","")</f>
        <v/>
      </c>
      <c r="H15" s="9">
        <v>44570</v>
      </c>
      <c r="I15" s="10">
        <v>10</v>
      </c>
      <c r="J15" s="9">
        <f>Rendelések3[[#This Row],[Rendelés dátuma]]+minimum</f>
        <v>44575</v>
      </c>
      <c r="K15" s="9">
        <f>Rendelések3[[#This Row],[Rendelés dátuma]]+Rendelések3[[#This Row],[Max. várakozási idő]]</f>
        <v>44580</v>
      </c>
      <c r="L15" s="22">
        <v>12300</v>
      </c>
      <c r="M15" s="28">
        <v>15</v>
      </c>
      <c r="N15" s="22">
        <f>Rendelések3[[#This Row],[Egységár (euró)]]*Rendelések3[[#This Row],[Rendelt mennyiség]]</f>
        <v>184500</v>
      </c>
      <c r="O15" s="24">
        <f>Rendelések3[[#This Row],[Fizetendő (euró)]]*$R$2</f>
        <v>66420000</v>
      </c>
      <c r="P15" s="7" t="s">
        <v>0</v>
      </c>
      <c r="T15" s="6" t="s">
        <v>46</v>
      </c>
      <c r="U15" s="26" t="s">
        <v>130</v>
      </c>
      <c r="W15" s="6" t="s">
        <v>16</v>
      </c>
      <c r="X15" s="6" t="s">
        <v>58</v>
      </c>
    </row>
    <row r="16" spans="1:26" x14ac:dyDescent="0.25">
      <c r="A16" t="s">
        <v>87</v>
      </c>
      <c r="B16" s="2" t="s">
        <v>45</v>
      </c>
      <c r="C16" t="str">
        <f>INDEX(Típusok3[],MATCH(Rendelések3[[#This Row],[Típus]],Típusok3[Típus],0),2)</f>
        <v>CT-109</v>
      </c>
      <c r="D16" s="14" t="str">
        <f>INDEX(Országok3[],MATCH(Rendelések3[[#This Row],[Célország]],Országok3[Célország],0),2)</f>
        <v>Kelly Cook</v>
      </c>
      <c r="E16" s="14" t="s">
        <v>145</v>
      </c>
      <c r="F16" t="s">
        <v>14</v>
      </c>
      <c r="G16" s="12" t="str">
        <f>IF(Rendelések3[[#This Row],[Max. várakozási idő]]&lt;10,"!","")</f>
        <v/>
      </c>
      <c r="H16" s="9">
        <v>44372</v>
      </c>
      <c r="I16" s="10">
        <v>10</v>
      </c>
      <c r="J16" s="9">
        <f>Rendelések3[[#This Row],[Rendelés dátuma]]+minimum</f>
        <v>44377</v>
      </c>
      <c r="K16" s="9">
        <f>Rendelések3[[#This Row],[Rendelés dátuma]]+Rendelések3[[#This Row],[Max. várakozási idő]]</f>
        <v>44382</v>
      </c>
      <c r="L16" s="22">
        <v>9700</v>
      </c>
      <c r="M16" s="28">
        <v>10</v>
      </c>
      <c r="N16" s="22">
        <f>Rendelések3[[#This Row],[Egységár (euró)]]*Rendelések3[[#This Row],[Rendelt mennyiség]]</f>
        <v>97000</v>
      </c>
      <c r="O16" s="24">
        <f>Rendelések3[[#This Row],[Fizetendő (euró)]]*$R$2</f>
        <v>34920000</v>
      </c>
      <c r="P16" s="7" t="s">
        <v>1</v>
      </c>
      <c r="T16" s="6" t="s">
        <v>36</v>
      </c>
      <c r="U16" s="26" t="s">
        <v>131</v>
      </c>
      <c r="W16" s="6" t="s">
        <v>17</v>
      </c>
      <c r="X16" s="6" t="s">
        <v>52</v>
      </c>
    </row>
    <row r="17" spans="1:24" x14ac:dyDescent="0.25">
      <c r="A17" t="s">
        <v>68</v>
      </c>
      <c r="B17" s="2" t="s">
        <v>32</v>
      </c>
      <c r="C17" t="str">
        <f>INDEX(Típusok3[],MATCH(Rendelések3[[#This Row],[Típus]],Típusok3[Típus],0),2)</f>
        <v>CT-111</v>
      </c>
      <c r="D17" s="14" t="str">
        <f>INDEX(Országok3[],MATCH(Rendelések3[[#This Row],[Célország]],Országok3[Célország],0),2)</f>
        <v>Kelly Cook</v>
      </c>
      <c r="E17" s="14" t="s">
        <v>145</v>
      </c>
      <c r="F17" t="s">
        <v>15</v>
      </c>
      <c r="G17" s="12" t="str">
        <f>IF(Rendelések3[[#This Row],[Max. várakozási idő]]&lt;10,"!","")</f>
        <v/>
      </c>
      <c r="H17" s="9">
        <v>44201</v>
      </c>
      <c r="I17" s="10">
        <v>26</v>
      </c>
      <c r="J17" s="9">
        <f>Rendelések3[[#This Row],[Rendelés dátuma]]+minimum</f>
        <v>44206</v>
      </c>
      <c r="K17" s="9">
        <f>Rendelések3[[#This Row],[Rendelés dátuma]]+Rendelések3[[#This Row],[Max. várakozási idő]]</f>
        <v>44227</v>
      </c>
      <c r="L17" s="22">
        <v>13300</v>
      </c>
      <c r="M17" s="28">
        <v>18</v>
      </c>
      <c r="N17" s="22">
        <f>Rendelések3[[#This Row],[Egységár (euró)]]*Rendelések3[[#This Row],[Rendelt mennyiség]]</f>
        <v>239400</v>
      </c>
      <c r="O17" s="24">
        <f>Rendelések3[[#This Row],[Fizetendő (euró)]]*$R$2</f>
        <v>86184000</v>
      </c>
      <c r="P17" s="7" t="s">
        <v>0</v>
      </c>
      <c r="T17" s="6" t="s">
        <v>39</v>
      </c>
      <c r="U17" s="26" t="s">
        <v>132</v>
      </c>
      <c r="W17" s="6" t="s">
        <v>18</v>
      </c>
      <c r="X17" s="6" t="s">
        <v>52</v>
      </c>
    </row>
    <row r="18" spans="1:24" x14ac:dyDescent="0.25">
      <c r="A18" t="s">
        <v>88</v>
      </c>
      <c r="B18" s="2" t="s">
        <v>41</v>
      </c>
      <c r="C18" t="str">
        <f>INDEX(Típusok3[],MATCH(Rendelések3[[#This Row],[Típus]],Típusok3[Típus],0),2)</f>
        <v>CT-117</v>
      </c>
      <c r="D18" s="14" t="str">
        <f>INDEX(Országok3[],MATCH(Rendelések3[[#This Row],[Célország]],Országok3[Célország],0),2)</f>
        <v>Kelly Cook</v>
      </c>
      <c r="E18" s="14" t="s">
        <v>145</v>
      </c>
      <c r="F18" t="s">
        <v>15</v>
      </c>
      <c r="G18" s="12" t="str">
        <f>IF(Rendelések3[[#This Row],[Max. várakozási idő]]&lt;10,"!","")</f>
        <v/>
      </c>
      <c r="H18" s="9">
        <v>44266</v>
      </c>
      <c r="I18" s="10">
        <v>15</v>
      </c>
      <c r="J18" s="9">
        <f>Rendelések3[[#This Row],[Rendelés dátuma]]+minimum</f>
        <v>44271</v>
      </c>
      <c r="K18" s="9">
        <f>Rendelések3[[#This Row],[Rendelés dátuma]]+Rendelések3[[#This Row],[Max. várakozási idő]]</f>
        <v>44281</v>
      </c>
      <c r="L18" s="22">
        <v>8000</v>
      </c>
      <c r="M18" s="28">
        <v>15</v>
      </c>
      <c r="N18" s="22">
        <f>Rendelések3[[#This Row],[Egységár (euró)]]*Rendelések3[[#This Row],[Rendelt mennyiség]]</f>
        <v>120000</v>
      </c>
      <c r="O18" s="24">
        <f>Rendelések3[[#This Row],[Fizetendő (euró)]]*$R$2</f>
        <v>43200000</v>
      </c>
      <c r="P18" s="7" t="s">
        <v>1</v>
      </c>
      <c r="T18" s="6" t="s">
        <v>41</v>
      </c>
      <c r="U18" s="26" t="s">
        <v>133</v>
      </c>
      <c r="W18" s="6" t="s">
        <v>19</v>
      </c>
      <c r="X18" s="6" t="s">
        <v>54</v>
      </c>
    </row>
    <row r="19" spans="1:24" x14ac:dyDescent="0.25">
      <c r="A19" t="s">
        <v>65</v>
      </c>
      <c r="B19" s="2" t="s">
        <v>37</v>
      </c>
      <c r="C19" t="str">
        <f>INDEX(Típusok3[],MATCH(Rendelések3[[#This Row],[Típus]],Típusok3[Típus],0),2)</f>
        <v>CT-110</v>
      </c>
      <c r="D19" s="14" t="str">
        <f>INDEX(Országok3[],MATCH(Rendelések3[[#This Row],[Célország]],Országok3[Célország],0),2)</f>
        <v>Kelly Cook</v>
      </c>
      <c r="E19" s="14" t="s">
        <v>145</v>
      </c>
      <c r="F19" t="s">
        <v>19</v>
      </c>
      <c r="G19" s="12" t="str">
        <f>IF(Rendelések3[[#This Row],[Max. várakozási idő]]&lt;10,"!","")</f>
        <v/>
      </c>
      <c r="H19" s="9">
        <v>44359</v>
      </c>
      <c r="I19" s="10">
        <v>19</v>
      </c>
      <c r="J19" s="9">
        <f>Rendelések3[[#This Row],[Rendelés dátuma]]+minimum</f>
        <v>44364</v>
      </c>
      <c r="K19" s="9">
        <f>Rendelések3[[#This Row],[Rendelés dátuma]]+Rendelések3[[#This Row],[Max. várakozási idő]]</f>
        <v>44378</v>
      </c>
      <c r="L19" s="22">
        <v>12500</v>
      </c>
      <c r="M19" s="28">
        <v>19</v>
      </c>
      <c r="N19" s="22">
        <f>Rendelések3[[#This Row],[Egységár (euró)]]*Rendelések3[[#This Row],[Rendelt mennyiség]]</f>
        <v>237500</v>
      </c>
      <c r="O19" s="24">
        <f>Rendelések3[[#This Row],[Fizetendő (euró)]]*$R$2</f>
        <v>85500000</v>
      </c>
      <c r="P19" s="7" t="s">
        <v>1</v>
      </c>
      <c r="W19" s="6" t="s">
        <v>20</v>
      </c>
      <c r="X19" s="6" t="s">
        <v>58</v>
      </c>
    </row>
    <row r="20" spans="1:24" x14ac:dyDescent="0.25">
      <c r="A20" t="s">
        <v>79</v>
      </c>
      <c r="B20" s="2" t="s">
        <v>42</v>
      </c>
      <c r="C20" t="str">
        <f>INDEX(Típusok3[],MATCH(Rendelések3[[#This Row],[Típus]],Típusok3[Típus],0),2)</f>
        <v>CT-113</v>
      </c>
      <c r="D20" s="14" t="str">
        <f>INDEX(Országok3[],MATCH(Rendelések3[[#This Row],[Célország]],Országok3[Célország],0),2)</f>
        <v>Kelly Cook</v>
      </c>
      <c r="E20" s="14" t="s">
        <v>145</v>
      </c>
      <c r="F20" t="s">
        <v>19</v>
      </c>
      <c r="G20" s="12" t="str">
        <f>IF(Rendelések3[[#This Row],[Max. várakozási idő]]&lt;10,"!","")</f>
        <v/>
      </c>
      <c r="H20" s="9">
        <v>44442</v>
      </c>
      <c r="I20" s="10">
        <v>12</v>
      </c>
      <c r="J20" s="9">
        <f>Rendelések3[[#This Row],[Rendelés dátuma]]+minimum</f>
        <v>44447</v>
      </c>
      <c r="K20" s="9">
        <f>Rendelések3[[#This Row],[Rendelés dátuma]]+Rendelések3[[#This Row],[Max. várakozási idő]]</f>
        <v>44454</v>
      </c>
      <c r="L20" s="22">
        <v>13700</v>
      </c>
      <c r="M20" s="28">
        <v>13</v>
      </c>
      <c r="N20" s="22">
        <f>Rendelések3[[#This Row],[Egységár (euró)]]*Rendelések3[[#This Row],[Rendelt mennyiség]]</f>
        <v>178100</v>
      </c>
      <c r="O20" s="24">
        <f>Rendelések3[[#This Row],[Fizetendő (euró)]]*$R$2</f>
        <v>64116000</v>
      </c>
      <c r="P20" s="7" t="s">
        <v>0</v>
      </c>
      <c r="W20" s="6" t="s">
        <v>21</v>
      </c>
      <c r="X20" s="6" t="s">
        <v>51</v>
      </c>
    </row>
    <row r="21" spans="1:24" x14ac:dyDescent="0.25">
      <c r="A21" t="s">
        <v>90</v>
      </c>
      <c r="B21" s="2" t="s">
        <v>33</v>
      </c>
      <c r="C21" t="str">
        <f>INDEX(Típusok3[],MATCH(Rendelések3[[#This Row],[Típus]],Típusok3[Típus],0),2)</f>
        <v>CT-108</v>
      </c>
      <c r="D21" s="14" t="str">
        <f>INDEX(Országok3[],MATCH(Rendelések3[[#This Row],[Célország]],Országok3[Célország],0),2)</f>
        <v>Kelly Cook</v>
      </c>
      <c r="E21" s="14" t="s">
        <v>145</v>
      </c>
      <c r="F21" t="s">
        <v>19</v>
      </c>
      <c r="G21" s="12" t="str">
        <f>IF(Rendelések3[[#This Row],[Max. várakozási idő]]&lt;10,"!","")</f>
        <v/>
      </c>
      <c r="H21" s="9">
        <v>44669</v>
      </c>
      <c r="I21" s="10">
        <v>16</v>
      </c>
      <c r="J21" s="9">
        <f>Rendelések3[[#This Row],[Rendelés dátuma]]+minimum</f>
        <v>44674</v>
      </c>
      <c r="K21" s="9">
        <f>Rendelések3[[#This Row],[Rendelés dátuma]]+Rendelések3[[#This Row],[Max. várakozási idő]]</f>
        <v>44685</v>
      </c>
      <c r="L21" s="22">
        <v>12500</v>
      </c>
      <c r="M21" s="28">
        <v>10</v>
      </c>
      <c r="N21" s="22">
        <f>Rendelések3[[#This Row],[Egységár (euró)]]*Rendelések3[[#This Row],[Rendelt mennyiség]]</f>
        <v>125000</v>
      </c>
      <c r="O21" s="24">
        <f>Rendelések3[[#This Row],[Fizetendő (euró)]]*$R$2</f>
        <v>45000000</v>
      </c>
      <c r="P21" s="7" t="s">
        <v>0</v>
      </c>
      <c r="W21" s="6" t="s">
        <v>22</v>
      </c>
      <c r="X21" s="6" t="s">
        <v>55</v>
      </c>
    </row>
    <row r="22" spans="1:24" x14ac:dyDescent="0.25">
      <c r="A22" t="s">
        <v>70</v>
      </c>
      <c r="B22" s="2" t="s">
        <v>43</v>
      </c>
      <c r="C22" t="str">
        <f>INDEX(Típusok3[],MATCH(Rendelések3[[#This Row],[Típus]],Típusok3[Típus],0),2)</f>
        <v>CT-103</v>
      </c>
      <c r="D22" s="14" t="str">
        <f>INDEX(Országok3[],MATCH(Rendelések3[[#This Row],[Célország]],Országok3[Célország],0),2)</f>
        <v>Yetta Ferrell</v>
      </c>
      <c r="E22" s="14" t="s">
        <v>141</v>
      </c>
      <c r="F22" t="s">
        <v>5</v>
      </c>
      <c r="G22" s="12" t="str">
        <f>IF(Rendelések3[[#This Row],[Max. várakozási idő]]&lt;10,"!","")</f>
        <v/>
      </c>
      <c r="H22" s="9">
        <v>44074</v>
      </c>
      <c r="I22" s="10">
        <v>23</v>
      </c>
      <c r="J22" s="9">
        <f>Rendelések3[[#This Row],[Rendelés dátuma]]+minimum</f>
        <v>44079</v>
      </c>
      <c r="K22" s="9">
        <f>Rendelések3[[#This Row],[Rendelés dátuma]]+Rendelések3[[#This Row],[Max. várakozási idő]]</f>
        <v>44097</v>
      </c>
      <c r="L22" s="22">
        <v>12700</v>
      </c>
      <c r="M22" s="28">
        <v>12</v>
      </c>
      <c r="N22" s="22">
        <f>Rendelések3[[#This Row],[Egységár (euró)]]*Rendelések3[[#This Row],[Rendelt mennyiség]]</f>
        <v>152400</v>
      </c>
      <c r="O22" s="24">
        <f>Rendelések3[[#This Row],[Fizetendő (euró)]]*$R$2</f>
        <v>54864000</v>
      </c>
      <c r="P22" s="7" t="s">
        <v>1</v>
      </c>
      <c r="W22" s="6" t="s">
        <v>23</v>
      </c>
      <c r="X22" s="6" t="s">
        <v>51</v>
      </c>
    </row>
    <row r="23" spans="1:24" x14ac:dyDescent="0.25">
      <c r="A23" t="s">
        <v>71</v>
      </c>
      <c r="B23" s="2" t="s">
        <v>32</v>
      </c>
      <c r="C23" t="str">
        <f>INDEX(Típusok3[],MATCH(Rendelések3[[#This Row],[Típus]],Típusok3[Típus],0),2)</f>
        <v>CT-111</v>
      </c>
      <c r="D23" s="14" t="str">
        <f>INDEX(Országok3[],MATCH(Rendelések3[[#This Row],[Célország]],Országok3[Célország],0),2)</f>
        <v>Yetta Ferrell</v>
      </c>
      <c r="E23" s="14" t="s">
        <v>141</v>
      </c>
      <c r="F23" t="s">
        <v>25</v>
      </c>
      <c r="G23" s="12" t="str">
        <f>IF(Rendelések3[[#This Row],[Max. várakozási idő]]&lt;10,"!","")</f>
        <v/>
      </c>
      <c r="H23" s="9">
        <v>44237</v>
      </c>
      <c r="I23" s="10">
        <v>30</v>
      </c>
      <c r="J23" s="9">
        <f>Rendelések3[[#This Row],[Rendelés dátuma]]+minimum</f>
        <v>44242</v>
      </c>
      <c r="K23" s="9">
        <f>Rendelések3[[#This Row],[Rendelés dátuma]]+Rendelések3[[#This Row],[Max. várakozási idő]]</f>
        <v>44267</v>
      </c>
      <c r="L23" s="22">
        <v>13800</v>
      </c>
      <c r="M23" s="28">
        <v>16</v>
      </c>
      <c r="N23" s="22">
        <f>Rendelések3[[#This Row],[Egységár (euró)]]*Rendelések3[[#This Row],[Rendelt mennyiség]]</f>
        <v>220800</v>
      </c>
      <c r="O23" s="24">
        <f>Rendelések3[[#This Row],[Fizetendő (euró)]]*$R$2</f>
        <v>79488000</v>
      </c>
      <c r="P23" s="7" t="s">
        <v>0</v>
      </c>
      <c r="W23" s="6" t="s">
        <v>24</v>
      </c>
      <c r="X23" s="6" t="s">
        <v>57</v>
      </c>
    </row>
    <row r="24" spans="1:24" x14ac:dyDescent="0.25">
      <c r="A24" t="s">
        <v>59</v>
      </c>
      <c r="B24" s="2" t="s">
        <v>35</v>
      </c>
      <c r="C24" t="str">
        <f>INDEX(Típusok3[],MATCH(Rendelések3[[#This Row],[Típus]],Típusok3[Típus],0),2)</f>
        <v>CT-102</v>
      </c>
      <c r="D24" s="14" t="str">
        <f>INDEX(Országok3[],MATCH(Rendelések3[[#This Row],[Célország]],Országok3[Célország],0),2)</f>
        <v>Yetta Ferrell</v>
      </c>
      <c r="E24" s="14" t="s">
        <v>141</v>
      </c>
      <c r="F24" t="s">
        <v>25</v>
      </c>
      <c r="G24" s="11" t="str">
        <f>IF(Rendelések3[[#This Row],[Max. várakozási idő]]&lt;10,"!","")</f>
        <v/>
      </c>
      <c r="H24" s="9">
        <v>44499</v>
      </c>
      <c r="I24" s="10">
        <v>16</v>
      </c>
      <c r="J24" s="9">
        <f>Rendelések3[[#This Row],[Rendelés dátuma]]+minimum</f>
        <v>44504</v>
      </c>
      <c r="K24" s="9">
        <f>Rendelések3[[#This Row],[Rendelés dátuma]]+Rendelések3[[#This Row],[Max. várakozási idő]]</f>
        <v>44515</v>
      </c>
      <c r="L24" s="22">
        <v>13100</v>
      </c>
      <c r="M24" s="28">
        <v>10</v>
      </c>
      <c r="N24" s="22">
        <f>Rendelések3[[#This Row],[Egységár (euró)]]*Rendelések3[[#This Row],[Rendelt mennyiség]]</f>
        <v>131000</v>
      </c>
      <c r="O24" s="24">
        <f>Rendelések3[[#This Row],[Fizetendő (euró)]]*$R$2</f>
        <v>47160000</v>
      </c>
      <c r="P24" s="7" t="s">
        <v>0</v>
      </c>
      <c r="W24" s="6" t="s">
        <v>25</v>
      </c>
      <c r="X24" s="6" t="s">
        <v>50</v>
      </c>
    </row>
    <row r="25" spans="1:24" x14ac:dyDescent="0.25">
      <c r="A25" t="s">
        <v>100</v>
      </c>
      <c r="B25" s="2" t="s">
        <v>34</v>
      </c>
      <c r="C25" t="str">
        <f>INDEX(Típusok3[],MATCH(Rendelések3[[#This Row],[Típus]],Típusok3[Típus],0),2)</f>
        <v>CT-101</v>
      </c>
      <c r="D25" s="14" t="str">
        <f>INDEX(Országok3[],MATCH(Rendelések3[[#This Row],[Célország]],Országok3[Célország],0),2)</f>
        <v>Brittany Francis</v>
      </c>
      <c r="E25" s="14" t="s">
        <v>147</v>
      </c>
      <c r="F25" t="s">
        <v>6</v>
      </c>
      <c r="G25" s="12" t="str">
        <f>IF(Rendelések3[[#This Row],[Max. várakozási idő]]&lt;10,"!","")</f>
        <v/>
      </c>
      <c r="H25" s="9">
        <v>44224</v>
      </c>
      <c r="I25" s="10">
        <v>29</v>
      </c>
      <c r="J25" s="9">
        <f>Rendelések3[[#This Row],[Rendelés dátuma]]+minimum</f>
        <v>44229</v>
      </c>
      <c r="K25" s="9">
        <f>Rendelések3[[#This Row],[Rendelés dátuma]]+Rendelések3[[#This Row],[Max. várakozási idő]]</f>
        <v>44253</v>
      </c>
      <c r="L25" s="22">
        <v>11900</v>
      </c>
      <c r="M25" s="28">
        <v>20</v>
      </c>
      <c r="N25" s="22">
        <f>Rendelések3[[#This Row],[Egységár (euró)]]*Rendelések3[[#This Row],[Rendelt mennyiség]]</f>
        <v>238000</v>
      </c>
      <c r="O25" s="24">
        <f>Rendelések3[[#This Row],[Fizetendő (euró)]]*$R$2</f>
        <v>85680000</v>
      </c>
      <c r="P25" s="7" t="s">
        <v>0</v>
      </c>
      <c r="W25" s="6" t="s">
        <v>26</v>
      </c>
      <c r="X25" s="6" t="s">
        <v>57</v>
      </c>
    </row>
    <row r="26" spans="1:24" x14ac:dyDescent="0.25">
      <c r="A26" t="s">
        <v>67</v>
      </c>
      <c r="B26" s="2" t="s">
        <v>33</v>
      </c>
      <c r="C26" t="str">
        <f>INDEX(Típusok3[],MATCH(Rendelések3[[#This Row],[Típus]],Típusok3[Típus],0),2)</f>
        <v>CT-108</v>
      </c>
      <c r="D26" s="14" t="str">
        <f>INDEX(Országok3[],MATCH(Rendelések3[[#This Row],[Célország]],Országok3[Célország],0),2)</f>
        <v>Brittany Francis</v>
      </c>
      <c r="E26" s="14" t="s">
        <v>147</v>
      </c>
      <c r="F26" t="s">
        <v>6</v>
      </c>
      <c r="G26" s="12" t="str">
        <f>IF(Rendelések3[[#This Row],[Max. várakozási idő]]&lt;10,"!","")</f>
        <v>!</v>
      </c>
      <c r="H26" s="9">
        <v>44704</v>
      </c>
      <c r="I26" s="10">
        <v>9</v>
      </c>
      <c r="J26" s="9">
        <f>Rendelések3[[#This Row],[Rendelés dátuma]]+minimum</f>
        <v>44709</v>
      </c>
      <c r="K26" s="9">
        <f>Rendelések3[[#This Row],[Rendelés dátuma]]+Rendelések3[[#This Row],[Max. várakozási idő]]</f>
        <v>44713</v>
      </c>
      <c r="L26" s="22">
        <v>9200</v>
      </c>
      <c r="M26" s="28">
        <v>13</v>
      </c>
      <c r="N26" s="22">
        <f>Rendelések3[[#This Row],[Egységár (euró)]]*Rendelések3[[#This Row],[Rendelt mennyiség]]</f>
        <v>119600</v>
      </c>
      <c r="O26" s="24">
        <f>Rendelések3[[#This Row],[Fizetendő (euró)]]*$R$2</f>
        <v>43056000</v>
      </c>
      <c r="P26" s="7" t="s">
        <v>0</v>
      </c>
      <c r="W26" s="6" t="s">
        <v>27</v>
      </c>
      <c r="X26" s="6" t="s">
        <v>53</v>
      </c>
    </row>
    <row r="27" spans="1:24" x14ac:dyDescent="0.25">
      <c r="A27" t="s">
        <v>96</v>
      </c>
      <c r="B27" s="2" t="s">
        <v>37</v>
      </c>
      <c r="C27" t="str">
        <f>INDEX(Típusok3[],MATCH(Rendelések3[[#This Row],[Típus]],Típusok3[Típus],0),2)</f>
        <v>CT-110</v>
      </c>
      <c r="D27" s="14" t="str">
        <f>INDEX(Országok3[],MATCH(Rendelések3[[#This Row],[Célország]],Országok3[Célország],0),2)</f>
        <v>Brittany Francis</v>
      </c>
      <c r="E27" s="14" t="s">
        <v>147</v>
      </c>
      <c r="F27" t="s">
        <v>6</v>
      </c>
      <c r="G27" s="12" t="str">
        <f>IF(Rendelések3[[#This Row],[Max. várakozási idő]]&lt;10,"!","")</f>
        <v/>
      </c>
      <c r="H27" s="9">
        <v>44178</v>
      </c>
      <c r="I27" s="10">
        <v>14</v>
      </c>
      <c r="J27" s="9">
        <f>Rendelések3[[#This Row],[Rendelés dátuma]]+minimum</f>
        <v>44183</v>
      </c>
      <c r="K27" s="9">
        <f>Rendelések3[[#This Row],[Rendelés dátuma]]+Rendelések3[[#This Row],[Max. várakozási idő]]</f>
        <v>44192</v>
      </c>
      <c r="L27" s="22">
        <v>10500</v>
      </c>
      <c r="M27" s="28">
        <v>10</v>
      </c>
      <c r="N27" s="22">
        <f>Rendelések3[[#This Row],[Egységár (euró)]]*Rendelések3[[#This Row],[Rendelt mennyiség]]</f>
        <v>105000</v>
      </c>
      <c r="O27" s="24">
        <f>Rendelések3[[#This Row],[Fizetendő (euró)]]*$R$2</f>
        <v>37800000</v>
      </c>
      <c r="P27" s="7" t="s">
        <v>0</v>
      </c>
      <c r="W27" s="6" t="s">
        <v>28</v>
      </c>
      <c r="X27" s="6" t="s">
        <v>58</v>
      </c>
    </row>
    <row r="28" spans="1:24" x14ac:dyDescent="0.25">
      <c r="A28" t="s">
        <v>98</v>
      </c>
      <c r="B28" s="2" t="s">
        <v>41</v>
      </c>
      <c r="C28" t="str">
        <f>INDEX(Típusok3[],MATCH(Rendelések3[[#This Row],[Típus]],Típusok3[Típus],0),2)</f>
        <v>CT-117</v>
      </c>
      <c r="D28" s="14" t="str">
        <f>INDEX(Országok3[],MATCH(Rendelések3[[#This Row],[Célország]],Országok3[Célország],0),2)</f>
        <v>Malcolm Klein</v>
      </c>
      <c r="E28" s="14" t="s">
        <v>146</v>
      </c>
      <c r="F28" t="s">
        <v>3</v>
      </c>
      <c r="G28" s="12" t="str">
        <f>IF(Rendelések3[[#This Row],[Max. várakozási idő]]&lt;10,"!","")</f>
        <v/>
      </c>
      <c r="H28" s="9">
        <v>44167</v>
      </c>
      <c r="I28" s="10">
        <v>22</v>
      </c>
      <c r="J28" s="9">
        <f>Rendelések3[[#This Row],[Rendelés dátuma]]+minimum</f>
        <v>44172</v>
      </c>
      <c r="K28" s="9">
        <f>Rendelések3[[#This Row],[Rendelés dátuma]]+Rendelések3[[#This Row],[Max. várakozási idő]]</f>
        <v>44189</v>
      </c>
      <c r="L28" s="22">
        <v>14700</v>
      </c>
      <c r="M28" s="28">
        <v>14</v>
      </c>
      <c r="N28" s="22">
        <f>Rendelések3[[#This Row],[Egységár (euró)]]*Rendelések3[[#This Row],[Rendelt mennyiség]]</f>
        <v>205800</v>
      </c>
      <c r="O28" s="24">
        <f>Rendelések3[[#This Row],[Fizetendő (euró)]]*$R$2</f>
        <v>74088000</v>
      </c>
      <c r="P28" s="7" t="s">
        <v>0</v>
      </c>
      <c r="W28" s="6" t="s">
        <v>29</v>
      </c>
      <c r="X28" s="6" t="s">
        <v>50</v>
      </c>
    </row>
    <row r="29" spans="1:24" x14ac:dyDescent="0.25">
      <c r="A29" t="s">
        <v>86</v>
      </c>
      <c r="B29" s="2" t="s">
        <v>39</v>
      </c>
      <c r="C29" t="str">
        <f>INDEX(Típusok3[],MATCH(Rendelések3[[#This Row],[Típus]],Típusok3[Típus],0),2)</f>
        <v>CT-116</v>
      </c>
      <c r="D29" s="14" t="str">
        <f>INDEX(Országok3[],MATCH(Rendelések3[[#This Row],[Célország]],Országok3[Célország],0),2)</f>
        <v>Malcolm Klein</v>
      </c>
      <c r="E29" s="14" t="s">
        <v>146</v>
      </c>
      <c r="F29" t="s">
        <v>3</v>
      </c>
      <c r="G29" s="12" t="str">
        <f>IF(Rendelések3[[#This Row],[Max. várakozási idő]]&lt;10,"!","")</f>
        <v/>
      </c>
      <c r="H29" s="9">
        <v>44109</v>
      </c>
      <c r="I29" s="10">
        <v>12</v>
      </c>
      <c r="J29" s="9">
        <f>Rendelések3[[#This Row],[Rendelés dátuma]]+minimum</f>
        <v>44114</v>
      </c>
      <c r="K29" s="9">
        <f>Rendelések3[[#This Row],[Rendelés dátuma]]+Rendelések3[[#This Row],[Max. várakozási idő]]</f>
        <v>44121</v>
      </c>
      <c r="L29" s="22">
        <v>11100</v>
      </c>
      <c r="M29" s="28">
        <v>16</v>
      </c>
      <c r="N29" s="22">
        <f>Rendelések3[[#This Row],[Egységár (euró)]]*Rendelések3[[#This Row],[Rendelt mennyiség]]</f>
        <v>177600</v>
      </c>
      <c r="O29" s="24">
        <f>Rendelések3[[#This Row],[Fizetendő (euró)]]*$R$2</f>
        <v>63936000</v>
      </c>
      <c r="P29" s="7" t="s">
        <v>0</v>
      </c>
    </row>
    <row r="30" spans="1:24" x14ac:dyDescent="0.25">
      <c r="A30" t="s">
        <v>93</v>
      </c>
      <c r="B30" s="2" t="s">
        <v>37</v>
      </c>
      <c r="C30" t="str">
        <f>INDEX(Típusok3[],MATCH(Rendelések3[[#This Row],[Típus]],Típusok3[Típus],0),2)</f>
        <v>CT-110</v>
      </c>
      <c r="D30" s="14" t="str">
        <f>INDEX(Országok3[],MATCH(Rendelések3[[#This Row],[Célország]],Országok3[Célország],0),2)</f>
        <v>Malcolm Klein</v>
      </c>
      <c r="E30" s="14" t="s">
        <v>146</v>
      </c>
      <c r="F30" t="s">
        <v>3</v>
      </c>
      <c r="G30" s="12" t="str">
        <f>IF(Rendelések3[[#This Row],[Max. várakozási idő]]&lt;10,"!","")</f>
        <v/>
      </c>
      <c r="H30" s="9">
        <v>44605</v>
      </c>
      <c r="I30" s="10">
        <v>15</v>
      </c>
      <c r="J30" s="9">
        <f>Rendelések3[[#This Row],[Rendelés dátuma]]+minimum</f>
        <v>44610</v>
      </c>
      <c r="K30" s="9">
        <f>Rendelések3[[#This Row],[Rendelés dátuma]]+Rendelések3[[#This Row],[Max. várakozási idő]]</f>
        <v>44620</v>
      </c>
      <c r="L30" s="22">
        <v>8700</v>
      </c>
      <c r="M30" s="28">
        <v>17</v>
      </c>
      <c r="N30" s="22">
        <f>Rendelések3[[#This Row],[Egységár (euró)]]*Rendelések3[[#This Row],[Rendelt mennyiség]]</f>
        <v>147900</v>
      </c>
      <c r="O30" s="24">
        <f>Rendelések3[[#This Row],[Fizetendő (euró)]]*$R$2</f>
        <v>53244000</v>
      </c>
      <c r="P30" s="7" t="s">
        <v>1</v>
      </c>
    </row>
    <row r="31" spans="1:24" x14ac:dyDescent="0.25">
      <c r="A31" t="s">
        <v>66</v>
      </c>
      <c r="B31" s="2" t="s">
        <v>33</v>
      </c>
      <c r="C31" t="str">
        <f>INDEX(Típusok3[],MATCH(Rendelések3[[#This Row],[Típus]],Típusok3[Típus],0),2)</f>
        <v>CT-108</v>
      </c>
      <c r="D31" s="14" t="str">
        <f>INDEX(Országok3[],MATCH(Rendelések3[[#This Row],[Célország]],Országok3[Célország],0),2)</f>
        <v>Malcolm Klein</v>
      </c>
      <c r="E31" s="14" t="s">
        <v>146</v>
      </c>
      <c r="F31" t="s">
        <v>3</v>
      </c>
      <c r="G31" s="12" t="str">
        <f>IF(Rendelések3[[#This Row],[Max. várakozási idő]]&lt;10,"!","")</f>
        <v/>
      </c>
      <c r="H31" s="9">
        <v>44490</v>
      </c>
      <c r="I31" s="10">
        <v>21</v>
      </c>
      <c r="J31" s="9">
        <f>Rendelések3[[#This Row],[Rendelés dátuma]]+minimum</f>
        <v>44495</v>
      </c>
      <c r="K31" s="9">
        <f>Rendelések3[[#This Row],[Rendelés dátuma]]+Rendelések3[[#This Row],[Max. várakozási idő]]</f>
        <v>44511</v>
      </c>
      <c r="L31" s="22">
        <v>13200</v>
      </c>
      <c r="M31" s="28">
        <v>10</v>
      </c>
      <c r="N31" s="22">
        <f>Rendelések3[[#This Row],[Egységár (euró)]]*Rendelések3[[#This Row],[Rendelt mennyiség]]</f>
        <v>132000</v>
      </c>
      <c r="O31" s="24">
        <f>Rendelések3[[#This Row],[Fizetendő (euró)]]*$R$2</f>
        <v>47520000</v>
      </c>
      <c r="P31" s="7" t="s">
        <v>1</v>
      </c>
    </row>
    <row r="32" spans="1:24" x14ac:dyDescent="0.25">
      <c r="A32" t="s">
        <v>80</v>
      </c>
      <c r="B32" s="2" t="s">
        <v>42</v>
      </c>
      <c r="C32" t="str">
        <f>INDEX(Típusok3[],MATCH(Rendelések3[[#This Row],[Típus]],Típusok3[Típus],0),2)</f>
        <v>CT-113</v>
      </c>
      <c r="D32" s="14" t="str">
        <f>INDEX(Országok3[],MATCH(Rendelések3[[#This Row],[Célország]],Országok3[Célország],0),2)</f>
        <v>Malcolm Klein</v>
      </c>
      <c r="E32" s="14" t="s">
        <v>146</v>
      </c>
      <c r="F32" t="s">
        <v>22</v>
      </c>
      <c r="G32" s="12" t="str">
        <f>IF(Rendelések3[[#This Row],[Max. várakozási idő]]&lt;10,"!","")</f>
        <v/>
      </c>
      <c r="H32" s="9">
        <v>44358</v>
      </c>
      <c r="I32" s="10">
        <v>16</v>
      </c>
      <c r="J32" s="9">
        <f>Rendelések3[[#This Row],[Rendelés dátuma]]+minimum</f>
        <v>44363</v>
      </c>
      <c r="K32" s="9">
        <f>Rendelések3[[#This Row],[Rendelés dátuma]]+Rendelések3[[#This Row],[Max. várakozási idő]]</f>
        <v>44374</v>
      </c>
      <c r="L32" s="22">
        <v>9200</v>
      </c>
      <c r="M32" s="28">
        <v>16</v>
      </c>
      <c r="N32" s="22">
        <f>Rendelések3[[#This Row],[Egységár (euró)]]*Rendelések3[[#This Row],[Rendelt mennyiség]]</f>
        <v>147200</v>
      </c>
      <c r="O32" s="24">
        <f>Rendelések3[[#This Row],[Fizetendő (euró)]]*$R$2</f>
        <v>52992000</v>
      </c>
      <c r="P32" s="7" t="s">
        <v>1</v>
      </c>
    </row>
    <row r="33" spans="1:16" x14ac:dyDescent="0.25">
      <c r="A33" t="s">
        <v>69</v>
      </c>
      <c r="B33" s="2" t="s">
        <v>34</v>
      </c>
      <c r="C33" t="str">
        <f>INDEX(Típusok3[],MATCH(Rendelések3[[#This Row],[Típus]],Típusok3[Típus],0),2)</f>
        <v>CT-101</v>
      </c>
      <c r="D33" s="14" t="str">
        <f>INDEX(Országok3[],MATCH(Rendelések3[[#This Row],[Célország]],Országok3[Célország],0),2)</f>
        <v>Sarah Meyers</v>
      </c>
      <c r="E33" s="14" t="s">
        <v>143</v>
      </c>
      <c r="F33" t="s">
        <v>10</v>
      </c>
      <c r="G33" s="12" t="str">
        <f>IF(Rendelések3[[#This Row],[Max. várakozási idő]]&lt;10,"!","")</f>
        <v/>
      </c>
      <c r="H33" s="9">
        <v>44690</v>
      </c>
      <c r="I33" s="10">
        <v>25</v>
      </c>
      <c r="J33" s="9">
        <f>Rendelések3[[#This Row],[Rendelés dátuma]]+minimum</f>
        <v>44695</v>
      </c>
      <c r="K33" s="9">
        <f>Rendelések3[[#This Row],[Rendelés dátuma]]+Rendelések3[[#This Row],[Max. várakozási idő]]</f>
        <v>44715</v>
      </c>
      <c r="L33" s="22">
        <v>14700</v>
      </c>
      <c r="M33" s="28">
        <v>11</v>
      </c>
      <c r="N33" s="22">
        <f>Rendelések3[[#This Row],[Egységár (euró)]]*Rendelések3[[#This Row],[Rendelt mennyiség]]</f>
        <v>161700</v>
      </c>
      <c r="O33" s="24">
        <f>Rendelések3[[#This Row],[Fizetendő (euró)]]*$R$2</f>
        <v>58212000</v>
      </c>
      <c r="P33" s="7" t="s">
        <v>0</v>
      </c>
    </row>
    <row r="34" spans="1:16" x14ac:dyDescent="0.25">
      <c r="A34" t="s">
        <v>106</v>
      </c>
      <c r="B34" s="2" t="s">
        <v>43</v>
      </c>
      <c r="C34" t="str">
        <f>INDEX(Típusok3[],MATCH(Rendelések3[[#This Row],[Típus]],Típusok3[Típus],0),2)</f>
        <v>CT-103</v>
      </c>
      <c r="D34" s="14" t="str">
        <f>INDEX(Országok3[],MATCH(Rendelések3[[#This Row],[Célország]],Országok3[Célország],0),2)</f>
        <v>Sarah Meyers</v>
      </c>
      <c r="E34" s="14" t="s">
        <v>143</v>
      </c>
      <c r="F34" t="s">
        <v>10</v>
      </c>
      <c r="G34" s="12" t="str">
        <f>IF(Rendelések3[[#This Row],[Max. várakozási idő]]&lt;10,"!","")</f>
        <v/>
      </c>
      <c r="H34" s="9">
        <v>44274</v>
      </c>
      <c r="I34" s="10">
        <v>12</v>
      </c>
      <c r="J34" s="9">
        <f>Rendelések3[[#This Row],[Rendelés dátuma]]+minimum</f>
        <v>44279</v>
      </c>
      <c r="K34" s="9">
        <f>Rendelések3[[#This Row],[Rendelés dátuma]]+Rendelések3[[#This Row],[Max. várakozási idő]]</f>
        <v>44286</v>
      </c>
      <c r="L34" s="22">
        <v>8300</v>
      </c>
      <c r="M34" s="28">
        <v>11</v>
      </c>
      <c r="N34" s="22">
        <f>Rendelések3[[#This Row],[Egységár (euró)]]*Rendelések3[[#This Row],[Rendelt mennyiség]]</f>
        <v>91300</v>
      </c>
      <c r="O34" s="24">
        <f>Rendelések3[[#This Row],[Fizetendő (euró)]]*$R$2</f>
        <v>32868000</v>
      </c>
      <c r="P34" s="7" t="s">
        <v>0</v>
      </c>
    </row>
    <row r="35" spans="1:16" x14ac:dyDescent="0.25">
      <c r="A35" t="s">
        <v>72</v>
      </c>
      <c r="B35" s="2" t="s">
        <v>41</v>
      </c>
      <c r="C35" t="str">
        <f>INDEX(Típusok3[],MATCH(Rendelések3[[#This Row],[Típus]],Típusok3[Típus],0),2)</f>
        <v>CT-117</v>
      </c>
      <c r="D35" s="14" t="str">
        <f>INDEX(Országok3[],MATCH(Rendelések3[[#This Row],[Célország]],Országok3[Célország],0),2)</f>
        <v>Sarah Meyers</v>
      </c>
      <c r="E35" s="14" t="s">
        <v>143</v>
      </c>
      <c r="F35" t="s">
        <v>11</v>
      </c>
      <c r="G35" s="12" t="str">
        <f>IF(Rendelések3[[#This Row],[Max. várakozási idő]]&lt;10,"!","")</f>
        <v/>
      </c>
      <c r="H35" s="9">
        <v>44350</v>
      </c>
      <c r="I35" s="10">
        <v>11</v>
      </c>
      <c r="J35" s="9">
        <f>Rendelések3[[#This Row],[Rendelés dátuma]]+minimum</f>
        <v>44355</v>
      </c>
      <c r="K35" s="9">
        <f>Rendelések3[[#This Row],[Rendelés dátuma]]+Rendelések3[[#This Row],[Max. várakozási idő]]</f>
        <v>44361</v>
      </c>
      <c r="L35" s="22">
        <v>14300</v>
      </c>
      <c r="M35" s="28">
        <v>12</v>
      </c>
      <c r="N35" s="22">
        <f>Rendelések3[[#This Row],[Egységár (euró)]]*Rendelések3[[#This Row],[Rendelt mennyiség]]</f>
        <v>171600</v>
      </c>
      <c r="O35" s="24">
        <f>Rendelések3[[#This Row],[Fizetendő (euró)]]*$R$2</f>
        <v>61776000</v>
      </c>
      <c r="P35" s="7" t="s">
        <v>1</v>
      </c>
    </row>
    <row r="36" spans="1:16" x14ac:dyDescent="0.25">
      <c r="A36" t="s">
        <v>108</v>
      </c>
      <c r="B36" s="2" t="s">
        <v>39</v>
      </c>
      <c r="C36" t="str">
        <f>INDEX(Típusok3[],MATCH(Rendelések3[[#This Row],[Típus]],Típusok3[Típus],0),2)</f>
        <v>CT-116</v>
      </c>
      <c r="D36" s="14" t="str">
        <f>INDEX(Országok3[],MATCH(Rendelések3[[#This Row],[Célország]],Országok3[Célország],0),2)</f>
        <v>Sarah Meyers</v>
      </c>
      <c r="E36" s="14" t="s">
        <v>143</v>
      </c>
      <c r="F36" t="s">
        <v>11</v>
      </c>
      <c r="G36" s="12" t="str">
        <f>IF(Rendelések3[[#This Row],[Max. várakozási idő]]&lt;10,"!","")</f>
        <v>!</v>
      </c>
      <c r="H36" s="9">
        <v>44067</v>
      </c>
      <c r="I36" s="10">
        <v>9</v>
      </c>
      <c r="J36" s="9">
        <f>Rendelések3[[#This Row],[Rendelés dátuma]]+minimum</f>
        <v>44072</v>
      </c>
      <c r="K36" s="9">
        <f>Rendelések3[[#This Row],[Rendelés dátuma]]+Rendelések3[[#This Row],[Max. várakozási idő]]</f>
        <v>44076</v>
      </c>
      <c r="L36" s="22">
        <v>11500</v>
      </c>
      <c r="M36" s="28">
        <v>12</v>
      </c>
      <c r="N36" s="22">
        <f>Rendelések3[[#This Row],[Egységár (euró)]]*Rendelések3[[#This Row],[Rendelt mennyiség]]</f>
        <v>138000</v>
      </c>
      <c r="O36" s="24">
        <f>Rendelések3[[#This Row],[Fizetendő (euró)]]*$R$2</f>
        <v>49680000</v>
      </c>
      <c r="P36" s="7" t="s">
        <v>0</v>
      </c>
    </row>
    <row r="37" spans="1:16" x14ac:dyDescent="0.25">
      <c r="A37" t="s">
        <v>61</v>
      </c>
      <c r="B37" s="2" t="s">
        <v>37</v>
      </c>
      <c r="C37" t="str">
        <f>INDEX(Típusok3[],MATCH(Rendelések3[[#This Row],[Típus]],Típusok3[Típus],0),2)</f>
        <v>CT-110</v>
      </c>
      <c r="D37" s="14" t="str">
        <f>INDEX(Országok3[],MATCH(Rendelések3[[#This Row],[Célország]],Országok3[Célország],0),2)</f>
        <v>Sarah Meyers</v>
      </c>
      <c r="E37" s="14" t="s">
        <v>143</v>
      </c>
      <c r="F37" t="s">
        <v>17</v>
      </c>
      <c r="G37" s="12" t="str">
        <f>IF(Rendelések3[[#This Row],[Max. várakozási idő]]&lt;10,"!","")</f>
        <v/>
      </c>
      <c r="H37" s="9">
        <v>44604</v>
      </c>
      <c r="I37" s="10">
        <v>20</v>
      </c>
      <c r="J37" s="9">
        <f>Rendelések3[[#This Row],[Rendelés dátuma]]+minimum</f>
        <v>44609</v>
      </c>
      <c r="K37" s="9">
        <f>Rendelések3[[#This Row],[Rendelés dátuma]]+Rendelések3[[#This Row],[Max. várakozási idő]]</f>
        <v>44624</v>
      </c>
      <c r="L37" s="22">
        <v>11900</v>
      </c>
      <c r="M37" s="28">
        <v>16</v>
      </c>
      <c r="N37" s="22">
        <f>Rendelések3[[#This Row],[Egységár (euró)]]*Rendelések3[[#This Row],[Rendelt mennyiség]]</f>
        <v>190400</v>
      </c>
      <c r="O37" s="24">
        <f>Rendelések3[[#This Row],[Fizetendő (euró)]]*$R$2</f>
        <v>68544000</v>
      </c>
      <c r="P37" s="7" t="s">
        <v>1</v>
      </c>
    </row>
    <row r="38" spans="1:16" x14ac:dyDescent="0.25">
      <c r="A38" t="s">
        <v>89</v>
      </c>
      <c r="B38" s="2" t="s">
        <v>42</v>
      </c>
      <c r="C38" t="str">
        <f>INDEX(Típusok3[],MATCH(Rendelések3[[#This Row],[Típus]],Típusok3[Típus],0),2)</f>
        <v>CT-113</v>
      </c>
      <c r="D38" s="14" t="str">
        <f>INDEX(Országok3[],MATCH(Rendelések3[[#This Row],[Célország]],Országok3[Célország],0),2)</f>
        <v>Sarah Meyers</v>
      </c>
      <c r="E38" s="14" t="s">
        <v>143</v>
      </c>
      <c r="F38" t="s">
        <v>17</v>
      </c>
      <c r="G38" s="12" t="str">
        <f>IF(Rendelések3[[#This Row],[Max. várakozási idő]]&lt;10,"!","")</f>
        <v/>
      </c>
      <c r="H38" s="9">
        <v>44536</v>
      </c>
      <c r="I38" s="10">
        <v>30</v>
      </c>
      <c r="J38" s="9">
        <f>Rendelések3[[#This Row],[Rendelés dátuma]]+minimum</f>
        <v>44541</v>
      </c>
      <c r="K38" s="9">
        <f>Rendelések3[[#This Row],[Rendelés dátuma]]+Rendelések3[[#This Row],[Max. várakozási idő]]</f>
        <v>44566</v>
      </c>
      <c r="L38" s="22">
        <v>13100</v>
      </c>
      <c r="M38" s="28">
        <v>11</v>
      </c>
      <c r="N38" s="22">
        <f>Rendelések3[[#This Row],[Egységár (euró)]]*Rendelések3[[#This Row],[Rendelt mennyiség]]</f>
        <v>144100</v>
      </c>
      <c r="O38" s="24">
        <f>Rendelések3[[#This Row],[Fizetendő (euró)]]*$R$2</f>
        <v>51876000</v>
      </c>
      <c r="P38" s="7" t="s">
        <v>0</v>
      </c>
    </row>
    <row r="39" spans="1:16" x14ac:dyDescent="0.25">
      <c r="A39" t="s">
        <v>95</v>
      </c>
      <c r="B39" s="2" t="s">
        <v>44</v>
      </c>
      <c r="C39" t="str">
        <f>INDEX(Típusok3[],MATCH(Rendelések3[[#This Row],[Típus]],Típusok3[Típus],0),2)</f>
        <v>CT-106</v>
      </c>
      <c r="D39" s="14" t="str">
        <f>INDEX(Országok3[],MATCH(Rendelések3[[#This Row],[Célország]],Országok3[Célország],0),2)</f>
        <v>Sarah Meyers</v>
      </c>
      <c r="E39" s="14" t="s">
        <v>143</v>
      </c>
      <c r="F39" t="s">
        <v>17</v>
      </c>
      <c r="G39" s="12" t="str">
        <f>IF(Rendelések3[[#This Row],[Max. várakozási idő]]&lt;10,"!","")</f>
        <v/>
      </c>
      <c r="H39" s="9">
        <v>44720</v>
      </c>
      <c r="I39" s="10">
        <v>28</v>
      </c>
      <c r="J39" s="9">
        <f>Rendelések3[[#This Row],[Rendelés dátuma]]+minimum</f>
        <v>44725</v>
      </c>
      <c r="K39" s="9">
        <f>Rendelések3[[#This Row],[Rendelés dátuma]]+Rendelések3[[#This Row],[Max. várakozási idő]]</f>
        <v>44748</v>
      </c>
      <c r="L39" s="22">
        <v>9500</v>
      </c>
      <c r="M39" s="28">
        <v>11</v>
      </c>
      <c r="N39" s="22">
        <f>Rendelések3[[#This Row],[Egységár (euró)]]*Rendelések3[[#This Row],[Rendelt mennyiség]]</f>
        <v>104500</v>
      </c>
      <c r="O39" s="24">
        <f>Rendelések3[[#This Row],[Fizetendő (euró)]]*$R$2</f>
        <v>37620000</v>
      </c>
      <c r="P39" s="7" t="s">
        <v>0</v>
      </c>
    </row>
    <row r="40" spans="1:16" x14ac:dyDescent="0.25">
      <c r="A40" t="s">
        <v>75</v>
      </c>
      <c r="B40" s="2" t="s">
        <v>32</v>
      </c>
      <c r="C40" t="str">
        <f>INDEX(Típusok3[],MATCH(Rendelések3[[#This Row],[Típus]],Típusok3[Típus],0),2)</f>
        <v>CT-111</v>
      </c>
      <c r="D40" s="14" t="str">
        <f>INDEX(Országok3[],MATCH(Rendelések3[[#This Row],[Célország]],Országok3[Célország],0),2)</f>
        <v>Sarah Meyers</v>
      </c>
      <c r="E40" s="14" t="s">
        <v>143</v>
      </c>
      <c r="F40" t="s">
        <v>18</v>
      </c>
      <c r="G40" s="12" t="str">
        <f>IF(Rendelések3[[#This Row],[Max. várakozási idő]]&lt;10,"!","")</f>
        <v/>
      </c>
      <c r="H40" s="9">
        <v>44218</v>
      </c>
      <c r="I40" s="10">
        <v>12</v>
      </c>
      <c r="J40" s="9">
        <f>Rendelések3[[#This Row],[Rendelés dátuma]]+minimum</f>
        <v>44223</v>
      </c>
      <c r="K40" s="9">
        <f>Rendelések3[[#This Row],[Rendelés dátuma]]+Rendelések3[[#This Row],[Max. várakozási idő]]</f>
        <v>44230</v>
      </c>
      <c r="L40" s="22">
        <v>14100</v>
      </c>
      <c r="M40" s="28">
        <v>15</v>
      </c>
      <c r="N40" s="22">
        <f>Rendelések3[[#This Row],[Egységár (euró)]]*Rendelések3[[#This Row],[Rendelt mennyiség]]</f>
        <v>211500</v>
      </c>
      <c r="O40" s="24">
        <f>Rendelések3[[#This Row],[Fizetendő (euró)]]*$R$2</f>
        <v>76140000</v>
      </c>
      <c r="P40" s="7" t="s">
        <v>0</v>
      </c>
    </row>
    <row r="41" spans="1:16" x14ac:dyDescent="0.25">
      <c r="A41" t="s">
        <v>101</v>
      </c>
      <c r="B41" s="2" t="s">
        <v>34</v>
      </c>
      <c r="C41" t="str">
        <f>INDEX(Típusok3[],MATCH(Rendelések3[[#This Row],[Típus]],Típusok3[Típus],0),2)</f>
        <v>CT-101</v>
      </c>
      <c r="D41" s="14" t="str">
        <f>INDEX(Országok3[],MATCH(Rendelések3[[#This Row],[Célország]],Országok3[Célország],0),2)</f>
        <v>Sarah Meyers</v>
      </c>
      <c r="E41" s="14" t="s">
        <v>143</v>
      </c>
      <c r="F41" t="s">
        <v>18</v>
      </c>
      <c r="G41" s="12" t="str">
        <f>IF(Rendelések3[[#This Row],[Max. várakozási idő]]&lt;10,"!","")</f>
        <v/>
      </c>
      <c r="H41" s="9">
        <v>44694</v>
      </c>
      <c r="I41" s="10">
        <v>20</v>
      </c>
      <c r="J41" s="9">
        <f>Rendelések3[[#This Row],[Rendelés dátuma]]+minimum</f>
        <v>44699</v>
      </c>
      <c r="K41" s="9">
        <f>Rendelések3[[#This Row],[Rendelés dátuma]]+Rendelések3[[#This Row],[Max. várakozási idő]]</f>
        <v>44714</v>
      </c>
      <c r="L41" s="22">
        <v>9500</v>
      </c>
      <c r="M41" s="28">
        <v>17</v>
      </c>
      <c r="N41" s="22">
        <f>Rendelések3[[#This Row],[Egységár (euró)]]*Rendelések3[[#This Row],[Rendelt mennyiség]]</f>
        <v>161500</v>
      </c>
      <c r="O41" s="24">
        <f>Rendelések3[[#This Row],[Fizetendő (euró)]]*$R$2</f>
        <v>58140000</v>
      </c>
      <c r="P41" s="7" t="s">
        <v>1</v>
      </c>
    </row>
    <row r="42" spans="1:16" x14ac:dyDescent="0.25">
      <c r="A42" t="s">
        <v>82</v>
      </c>
      <c r="B42" s="2" t="s">
        <v>41</v>
      </c>
      <c r="C42" t="str">
        <f>INDEX(Típusok3[],MATCH(Rendelések3[[#This Row],[Típus]],Típusok3[Típus],0),2)</f>
        <v>CT-117</v>
      </c>
      <c r="D42" s="14" t="str">
        <f>INDEX(Országok3[],MATCH(Rendelések3[[#This Row],[Célország]],Országok3[Célország],0),2)</f>
        <v>Sarah Meyers</v>
      </c>
      <c r="E42" s="14" t="s">
        <v>143</v>
      </c>
      <c r="F42" t="s">
        <v>18</v>
      </c>
      <c r="G42" s="12" t="str">
        <f>IF(Rendelések3[[#This Row],[Max. várakozási idő]]&lt;10,"!","")</f>
        <v/>
      </c>
      <c r="H42" s="9">
        <v>44074</v>
      </c>
      <c r="I42" s="10">
        <v>13</v>
      </c>
      <c r="J42" s="9">
        <f>Rendelések3[[#This Row],[Rendelés dátuma]]+minimum</f>
        <v>44079</v>
      </c>
      <c r="K42" s="9">
        <f>Rendelések3[[#This Row],[Rendelés dátuma]]+Rendelések3[[#This Row],[Max. várakozási idő]]</f>
        <v>44087</v>
      </c>
      <c r="L42" s="22">
        <v>9000</v>
      </c>
      <c r="M42" s="28">
        <v>12</v>
      </c>
      <c r="N42" s="22">
        <f>Rendelések3[[#This Row],[Egységár (euró)]]*Rendelések3[[#This Row],[Rendelt mennyiség]]</f>
        <v>108000</v>
      </c>
      <c r="O42" s="24">
        <f>Rendelések3[[#This Row],[Fizetendő (euró)]]*$R$2</f>
        <v>38880000</v>
      </c>
      <c r="P42" s="7" t="s">
        <v>1</v>
      </c>
    </row>
    <row r="43" spans="1:16" x14ac:dyDescent="0.25">
      <c r="A43" t="s">
        <v>76</v>
      </c>
      <c r="B43" s="2" t="s">
        <v>38</v>
      </c>
      <c r="C43" t="str">
        <f>INDEX(Típusok3[],MATCH(Rendelések3[[#This Row],[Típus]],Típusok3[Típus],0),2)</f>
        <v>CT-104</v>
      </c>
      <c r="D43" s="14" t="str">
        <f>INDEX(Országok3[],MATCH(Rendelések3[[#This Row],[Célország]],Országok3[Célország],0),2)</f>
        <v>Sierra Richardson</v>
      </c>
      <c r="E43" s="14" t="s">
        <v>148</v>
      </c>
      <c r="F43" t="s">
        <v>12</v>
      </c>
      <c r="G43" s="12" t="str">
        <f>IF(Rendelések3[[#This Row],[Max. várakozási idő]]&lt;10,"!","")</f>
        <v/>
      </c>
      <c r="H43" s="9">
        <v>44565</v>
      </c>
      <c r="I43" s="10">
        <v>16</v>
      </c>
      <c r="J43" s="9">
        <f>Rendelések3[[#This Row],[Rendelés dátuma]]+minimum</f>
        <v>44570</v>
      </c>
      <c r="K43" s="9">
        <f>Rendelések3[[#This Row],[Rendelés dátuma]]+Rendelések3[[#This Row],[Max. várakozási idő]]</f>
        <v>44581</v>
      </c>
      <c r="L43" s="22">
        <v>13700</v>
      </c>
      <c r="M43" s="28">
        <v>20</v>
      </c>
      <c r="N43" s="22">
        <f>Rendelések3[[#This Row],[Egységár (euró)]]*Rendelések3[[#This Row],[Rendelt mennyiség]]</f>
        <v>274000</v>
      </c>
      <c r="O43" s="24">
        <f>Rendelések3[[#This Row],[Fizetendő (euró)]]*$R$2</f>
        <v>98640000</v>
      </c>
      <c r="P43" s="7" t="s">
        <v>0</v>
      </c>
    </row>
    <row r="44" spans="1:16" x14ac:dyDescent="0.25">
      <c r="A44" t="s">
        <v>94</v>
      </c>
      <c r="B44" s="2" t="s">
        <v>35</v>
      </c>
      <c r="C44" t="str">
        <f>INDEX(Típusok3[],MATCH(Rendelések3[[#This Row],[Típus]],Típusok3[Típus],0),2)</f>
        <v>CT-102</v>
      </c>
      <c r="D44" s="14" t="str">
        <f>INDEX(Országok3[],MATCH(Rendelések3[[#This Row],[Célország]],Országok3[Célország],0),2)</f>
        <v>Sierra Richardson</v>
      </c>
      <c r="E44" s="14" t="s">
        <v>148</v>
      </c>
      <c r="F44" t="s">
        <v>12</v>
      </c>
      <c r="G44" s="12" t="str">
        <f>IF(Rendelések3[[#This Row],[Max. várakozási idő]]&lt;10,"!","")</f>
        <v/>
      </c>
      <c r="H44" s="9">
        <v>44459</v>
      </c>
      <c r="I44" s="10">
        <v>29</v>
      </c>
      <c r="J44" s="9">
        <f>Rendelések3[[#This Row],[Rendelés dátuma]]+minimum</f>
        <v>44464</v>
      </c>
      <c r="K44" s="9">
        <f>Rendelések3[[#This Row],[Rendelés dátuma]]+Rendelések3[[#This Row],[Max. várakozási idő]]</f>
        <v>44488</v>
      </c>
      <c r="L44" s="22">
        <v>10400</v>
      </c>
      <c r="M44" s="28">
        <v>17</v>
      </c>
      <c r="N44" s="22">
        <f>Rendelések3[[#This Row],[Egységár (euró)]]*Rendelések3[[#This Row],[Rendelt mennyiség]]</f>
        <v>176800</v>
      </c>
      <c r="O44" s="24">
        <f>Rendelések3[[#This Row],[Fizetendő (euró)]]*$R$2</f>
        <v>63648000</v>
      </c>
      <c r="P44" s="7" t="s">
        <v>0</v>
      </c>
    </row>
    <row r="45" spans="1:16" x14ac:dyDescent="0.25">
      <c r="A45" t="s">
        <v>74</v>
      </c>
      <c r="B45" s="2" t="s">
        <v>38</v>
      </c>
      <c r="C45" t="str">
        <f>INDEX(Típusok3[],MATCH(Rendelések3[[#This Row],[Típus]],Típusok3[Típus],0),2)</f>
        <v>CT-104</v>
      </c>
      <c r="D45" s="14" t="str">
        <f>INDEX(Országok3[],MATCH(Rendelések3[[#This Row],[Célország]],Országok3[Célország],0),2)</f>
        <v>Sierra Richardson</v>
      </c>
      <c r="E45" s="14" t="s">
        <v>148</v>
      </c>
      <c r="F45" t="s">
        <v>13</v>
      </c>
      <c r="G45" s="12" t="str">
        <f>IF(Rendelések3[[#This Row],[Max. várakozási idő]]&lt;10,"!","")</f>
        <v/>
      </c>
      <c r="H45" s="9">
        <v>44314</v>
      </c>
      <c r="I45" s="10">
        <v>10</v>
      </c>
      <c r="J45" s="9">
        <f>Rendelések3[[#This Row],[Rendelés dátuma]]+minimum</f>
        <v>44319</v>
      </c>
      <c r="K45" s="9">
        <f>Rendelések3[[#This Row],[Rendelés dátuma]]+Rendelések3[[#This Row],[Max. várakozási idő]]</f>
        <v>44324</v>
      </c>
      <c r="L45" s="22">
        <v>11800</v>
      </c>
      <c r="M45" s="28">
        <v>12</v>
      </c>
      <c r="N45" s="22">
        <f>Rendelések3[[#This Row],[Egységár (euró)]]*Rendelések3[[#This Row],[Rendelt mennyiség]]</f>
        <v>141600</v>
      </c>
      <c r="O45" s="24">
        <f>Rendelések3[[#This Row],[Fizetendő (euró)]]*$R$2</f>
        <v>50976000</v>
      </c>
      <c r="P45" s="7" t="s">
        <v>0</v>
      </c>
    </row>
    <row r="46" spans="1:16" x14ac:dyDescent="0.25">
      <c r="A46" t="s">
        <v>99</v>
      </c>
      <c r="B46" s="2" t="s">
        <v>33</v>
      </c>
      <c r="C46" t="str">
        <f>INDEX(Típusok3[],MATCH(Rendelések3[[#This Row],[Típus]],Típusok3[Típus],0),2)</f>
        <v>CT-108</v>
      </c>
      <c r="D46" s="14" t="str">
        <f>INDEX(Országok3[],MATCH(Rendelések3[[#This Row],[Célország]],Országok3[Célország],0),2)</f>
        <v>Sierra Richardson</v>
      </c>
      <c r="E46" s="14" t="s">
        <v>148</v>
      </c>
      <c r="F46" t="s">
        <v>21</v>
      </c>
      <c r="G46" s="12" t="str">
        <f>IF(Rendelések3[[#This Row],[Max. várakozási idő]]&lt;10,"!","")</f>
        <v/>
      </c>
      <c r="H46" s="9">
        <v>44380</v>
      </c>
      <c r="I46" s="10">
        <v>17</v>
      </c>
      <c r="J46" s="9">
        <f>Rendelések3[[#This Row],[Rendelés dátuma]]+minimum</f>
        <v>44385</v>
      </c>
      <c r="K46" s="9">
        <f>Rendelések3[[#This Row],[Rendelés dátuma]]+Rendelések3[[#This Row],[Max. várakozási idő]]</f>
        <v>44397</v>
      </c>
      <c r="L46" s="22">
        <v>13600</v>
      </c>
      <c r="M46" s="28">
        <v>16</v>
      </c>
      <c r="N46" s="22">
        <f>Rendelések3[[#This Row],[Egységár (euró)]]*Rendelések3[[#This Row],[Rendelt mennyiség]]</f>
        <v>217600</v>
      </c>
      <c r="O46" s="24">
        <f>Rendelések3[[#This Row],[Fizetendő (euró)]]*$R$2</f>
        <v>78336000</v>
      </c>
      <c r="P46" s="7" t="s">
        <v>0</v>
      </c>
    </row>
    <row r="47" spans="1:16" x14ac:dyDescent="0.25">
      <c r="A47" t="s">
        <v>73</v>
      </c>
      <c r="B47" s="2" t="s">
        <v>45</v>
      </c>
      <c r="C47" t="str">
        <f>INDEX(Típusok3[],MATCH(Rendelések3[[#This Row],[Típus]],Típusok3[Típus],0),2)</f>
        <v>CT-109</v>
      </c>
      <c r="D47" s="14" t="str">
        <f>INDEX(Országok3[],MATCH(Rendelések3[[#This Row],[Célország]],Országok3[Célország],0),2)</f>
        <v>Sierra Richardson</v>
      </c>
      <c r="E47" s="14" t="s">
        <v>148</v>
      </c>
      <c r="F47" t="s">
        <v>23</v>
      </c>
      <c r="G47" s="12" t="str">
        <f>IF(Rendelések3[[#This Row],[Max. várakozási idő]]&lt;10,"!","")</f>
        <v/>
      </c>
      <c r="H47" s="9">
        <v>44262</v>
      </c>
      <c r="I47" s="10">
        <v>12</v>
      </c>
      <c r="J47" s="9">
        <f>Rendelések3[[#This Row],[Rendelés dátuma]]+minimum</f>
        <v>44267</v>
      </c>
      <c r="K47" s="9">
        <f>Rendelések3[[#This Row],[Rendelés dátuma]]+Rendelések3[[#This Row],[Max. várakozási idő]]</f>
        <v>44274</v>
      </c>
      <c r="L47" s="22">
        <v>8700</v>
      </c>
      <c r="M47" s="28">
        <v>15</v>
      </c>
      <c r="N47" s="22">
        <f>Rendelések3[[#This Row],[Egységár (euró)]]*Rendelések3[[#This Row],[Rendelt mennyiség]]</f>
        <v>130500</v>
      </c>
      <c r="O47" s="24">
        <f>Rendelések3[[#This Row],[Fizetendő (euró)]]*$R$2</f>
        <v>46980000</v>
      </c>
      <c r="P47" s="7" t="s">
        <v>1</v>
      </c>
    </row>
    <row r="48" spans="1:16" x14ac:dyDescent="0.25">
      <c r="A48" t="s">
        <v>77</v>
      </c>
      <c r="B48" s="2" t="s">
        <v>44</v>
      </c>
      <c r="C48" t="str">
        <f>INDEX(Típusok3[],MATCH(Rendelések3[[#This Row],[Típus]],Típusok3[Típus],0),2)</f>
        <v>CT-106</v>
      </c>
      <c r="D48" s="14" t="str">
        <f>INDEX(Országok3[],MATCH(Rendelések3[[#This Row],[Célország]],Országok3[Célország],0),2)</f>
        <v>Colton Suarez</v>
      </c>
      <c r="E48" s="14" t="s">
        <v>144</v>
      </c>
      <c r="F48" t="s">
        <v>24</v>
      </c>
      <c r="G48" s="12" t="str">
        <f>IF(Rendelések3[[#This Row],[Max. várakozási idő]]&lt;10,"!","")</f>
        <v/>
      </c>
      <c r="H48" s="9">
        <v>44580</v>
      </c>
      <c r="I48" s="10">
        <v>10</v>
      </c>
      <c r="J48" s="9">
        <f>Rendelések3[[#This Row],[Rendelés dátuma]]+minimum</f>
        <v>44585</v>
      </c>
      <c r="K48" s="9">
        <f>Rendelések3[[#This Row],[Rendelés dátuma]]+Rendelések3[[#This Row],[Max. várakozási idő]]</f>
        <v>44590</v>
      </c>
      <c r="L48" s="22">
        <v>13700</v>
      </c>
      <c r="M48" s="28">
        <v>20</v>
      </c>
      <c r="N48" s="22">
        <f>Rendelések3[[#This Row],[Egységár (euró)]]*Rendelések3[[#This Row],[Rendelt mennyiség]]</f>
        <v>274000</v>
      </c>
      <c r="O48" s="24">
        <f>Rendelések3[[#This Row],[Fizetendő (euró)]]*$R$2</f>
        <v>98640000</v>
      </c>
      <c r="P48" s="7" t="s">
        <v>1</v>
      </c>
    </row>
    <row r="49" spans="1:16" x14ac:dyDescent="0.25">
      <c r="A49" t="s">
        <v>91</v>
      </c>
      <c r="B49" s="2" t="s">
        <v>41</v>
      </c>
      <c r="C49" t="str">
        <f>INDEX(Típusok3[],MATCH(Rendelések3[[#This Row],[Típus]],Típusok3[Típus],0),2)</f>
        <v>CT-117</v>
      </c>
      <c r="D49" s="14" t="str">
        <f>INDEX(Országok3[],MATCH(Rendelések3[[#This Row],[Célország]],Országok3[Célország],0),2)</f>
        <v>Colton Suarez</v>
      </c>
      <c r="E49" s="14" t="s">
        <v>144</v>
      </c>
      <c r="F49" t="s">
        <v>24</v>
      </c>
      <c r="G49" s="12" t="str">
        <f>IF(Rendelések3[[#This Row],[Max. várakozási idő]]&lt;10,"!","")</f>
        <v/>
      </c>
      <c r="H49" s="9">
        <v>44691</v>
      </c>
      <c r="I49" s="10">
        <v>12</v>
      </c>
      <c r="J49" s="9">
        <f>Rendelések3[[#This Row],[Rendelés dátuma]]+minimum</f>
        <v>44696</v>
      </c>
      <c r="K49" s="9">
        <f>Rendelések3[[#This Row],[Rendelés dátuma]]+Rendelések3[[#This Row],[Max. várakozási idő]]</f>
        <v>44703</v>
      </c>
      <c r="L49" s="22">
        <v>10000</v>
      </c>
      <c r="M49" s="28">
        <v>16</v>
      </c>
      <c r="N49" s="22">
        <f>Rendelések3[[#This Row],[Egységár (euró)]]*Rendelések3[[#This Row],[Rendelt mennyiség]]</f>
        <v>160000</v>
      </c>
      <c r="O49" s="24">
        <f>Rendelések3[[#This Row],[Fizetendő (euró)]]*$R$2</f>
        <v>57600000</v>
      </c>
      <c r="P49" s="7" t="s">
        <v>0</v>
      </c>
    </row>
    <row r="50" spans="1:16" x14ac:dyDescent="0.25">
      <c r="A50" t="s">
        <v>102</v>
      </c>
      <c r="B50" s="2" t="s">
        <v>38</v>
      </c>
      <c r="C50" t="str">
        <f>INDEX(Típusok3[],MATCH(Rendelések3[[#This Row],[Típus]],Típusok3[Típus],0),2)</f>
        <v>CT-104</v>
      </c>
      <c r="D50" s="14" t="str">
        <f>INDEX(Országok3[],MATCH(Rendelések3[[#This Row],[Célország]],Országok3[Célország],0),2)</f>
        <v>Colton Suarez</v>
      </c>
      <c r="E50" s="14" t="s">
        <v>144</v>
      </c>
      <c r="F50" t="s">
        <v>26</v>
      </c>
      <c r="G50" s="12" t="str">
        <f>IF(Rendelések3[[#This Row],[Max. várakozási idő]]&lt;10,"!","")</f>
        <v/>
      </c>
      <c r="H50" s="9">
        <v>44135</v>
      </c>
      <c r="I50" s="10">
        <v>17</v>
      </c>
      <c r="J50" s="9">
        <f>Rendelések3[[#This Row],[Rendelés dátuma]]+minimum</f>
        <v>44140</v>
      </c>
      <c r="K50" s="9">
        <f>Rendelések3[[#This Row],[Rendelés dátuma]]+Rendelések3[[#This Row],[Max. várakozási idő]]</f>
        <v>44152</v>
      </c>
      <c r="L50" s="22">
        <v>10600</v>
      </c>
      <c r="M50" s="28">
        <v>10</v>
      </c>
      <c r="N50" s="22">
        <f>Rendelések3[[#This Row],[Egységár (euró)]]*Rendelések3[[#This Row],[Rendelt mennyiség]]</f>
        <v>106000</v>
      </c>
      <c r="O50" s="24">
        <f>Rendelések3[[#This Row],[Fizetendő (euró)]]*$R$2</f>
        <v>38160000</v>
      </c>
      <c r="P50" s="7" t="s">
        <v>0</v>
      </c>
    </row>
    <row r="51" spans="1:16" x14ac:dyDescent="0.25">
      <c r="A51" t="s">
        <v>64</v>
      </c>
      <c r="B51" s="2" t="s">
        <v>38</v>
      </c>
      <c r="C51" t="str">
        <f>INDEX(Típusok3[],MATCH(Rendelések3[[#This Row],[Típus]],Típusok3[Típus],0),2)</f>
        <v>CT-104</v>
      </c>
      <c r="D51" s="14" t="str">
        <f>INDEX(Országok3[],MATCH(Rendelések3[[#This Row],[Célország]],Országok3[Célország],0),2)</f>
        <v>Colton Suarez</v>
      </c>
      <c r="E51" s="14" t="s">
        <v>144</v>
      </c>
      <c r="F51" t="s">
        <v>26</v>
      </c>
      <c r="G51" s="12" t="str">
        <f>IF(Rendelések3[[#This Row],[Max. várakozási idő]]&lt;10,"!","")</f>
        <v/>
      </c>
      <c r="H51" s="9">
        <v>44106</v>
      </c>
      <c r="I51" s="10">
        <v>21</v>
      </c>
      <c r="J51" s="9">
        <f>Rendelések3[[#This Row],[Rendelés dátuma]]+minimum</f>
        <v>44111</v>
      </c>
      <c r="K51" s="9">
        <f>Rendelések3[[#This Row],[Rendelés dátuma]]+Rendelések3[[#This Row],[Max. várakozási idő]]</f>
        <v>44127</v>
      </c>
      <c r="L51" s="23">
        <v>9400</v>
      </c>
      <c r="M51" s="28">
        <v>10</v>
      </c>
      <c r="N51" s="22">
        <f>Rendelések3[[#This Row],[Egységár (euró)]]*Rendelések3[[#This Row],[Rendelt mennyiség]]</f>
        <v>94000</v>
      </c>
      <c r="O51" s="24">
        <f>Rendelések3[[#This Row],[Fizetendő (euró)]]*$R$2</f>
        <v>33840000</v>
      </c>
      <c r="P51" s="8" t="s">
        <v>1</v>
      </c>
    </row>
    <row r="52" spans="1:16" x14ac:dyDescent="0.25">
      <c r="L52" s="1"/>
      <c r="M52" s="4"/>
      <c r="N52" s="4"/>
      <c r="O52" s="4"/>
    </row>
    <row r="53" spans="1:16" x14ac:dyDescent="0.25">
      <c r="L53" s="1"/>
      <c r="M53" s="4"/>
      <c r="N53" s="4"/>
      <c r="O53" s="4"/>
    </row>
    <row r="54" spans="1:16" x14ac:dyDescent="0.25">
      <c r="L54" s="1"/>
      <c r="M54" s="4"/>
      <c r="N54" s="4"/>
      <c r="O54" s="4"/>
    </row>
    <row r="55" spans="1:16" x14ac:dyDescent="0.25">
      <c r="L55" s="1"/>
      <c r="M55" s="4"/>
      <c r="N55" s="4"/>
      <c r="O55" s="4"/>
    </row>
    <row r="56" spans="1:16" x14ac:dyDescent="0.25">
      <c r="L56" s="1"/>
      <c r="M56" s="4"/>
      <c r="N56" s="4"/>
      <c r="O56" s="4"/>
    </row>
    <row r="57" spans="1:16" x14ac:dyDescent="0.25">
      <c r="L57" s="1"/>
      <c r="M57" s="4"/>
      <c r="N57" s="4"/>
      <c r="O57" s="4"/>
    </row>
    <row r="58" spans="1:16" x14ac:dyDescent="0.25">
      <c r="L58" s="1"/>
      <c r="M58" s="4"/>
      <c r="N58" s="4"/>
      <c r="O58" s="4"/>
    </row>
    <row r="59" spans="1:16" x14ac:dyDescent="0.25">
      <c r="L59" s="1"/>
      <c r="M59" s="4"/>
      <c r="N59" s="4"/>
      <c r="O59" s="4"/>
    </row>
    <row r="60" spans="1:16" x14ac:dyDescent="0.25">
      <c r="L60" s="1"/>
      <c r="M60" s="4"/>
      <c r="N60" s="4"/>
      <c r="O60" s="4"/>
    </row>
    <row r="61" spans="1:16" x14ac:dyDescent="0.25">
      <c r="L61" s="1"/>
      <c r="M61" s="4"/>
      <c r="N61" s="4"/>
      <c r="O61" s="4"/>
    </row>
    <row r="62" spans="1:16" x14ac:dyDescent="0.25">
      <c r="L62" s="1"/>
      <c r="M62" s="4"/>
      <c r="N62" s="4"/>
      <c r="O62" s="4"/>
    </row>
    <row r="63" spans="1:16" x14ac:dyDescent="0.25">
      <c r="L63" s="1"/>
      <c r="M63" s="4"/>
      <c r="N63" s="4"/>
      <c r="O63" s="4"/>
    </row>
    <row r="64" spans="1:16" x14ac:dyDescent="0.25">
      <c r="L64" s="1"/>
      <c r="M64" s="4"/>
      <c r="N64" s="4"/>
      <c r="O64" s="4"/>
    </row>
    <row r="65" spans="12:15" x14ac:dyDescent="0.25">
      <c r="L65" s="1"/>
      <c r="M65" s="4"/>
      <c r="N65" s="4"/>
      <c r="O65" s="4"/>
    </row>
    <row r="66" spans="12:15" x14ac:dyDescent="0.25">
      <c r="L66" s="1"/>
      <c r="M66" s="4"/>
      <c r="N66" s="4"/>
      <c r="O66" s="4"/>
    </row>
    <row r="67" spans="12:15" x14ac:dyDescent="0.25">
      <c r="L67" s="1"/>
      <c r="M67" s="4"/>
      <c r="N67" s="4"/>
      <c r="O67" s="4"/>
    </row>
    <row r="68" spans="12:15" x14ac:dyDescent="0.25">
      <c r="L68" s="1"/>
      <c r="M68" s="4"/>
      <c r="N68" s="4"/>
      <c r="O68" s="4"/>
    </row>
    <row r="69" spans="12:15" x14ac:dyDescent="0.25">
      <c r="L69" s="1"/>
      <c r="M69" s="4"/>
      <c r="N69" s="4"/>
      <c r="O69" s="4"/>
    </row>
    <row r="70" spans="12:15" x14ac:dyDescent="0.25">
      <c r="L70" s="1"/>
      <c r="M70" s="4"/>
      <c r="N70" s="4"/>
      <c r="O70" s="4"/>
    </row>
    <row r="71" spans="12:15" x14ac:dyDescent="0.25">
      <c r="L71" s="1"/>
      <c r="M71" s="4"/>
      <c r="N71" s="4"/>
      <c r="O71" s="4"/>
    </row>
    <row r="72" spans="12:15" x14ac:dyDescent="0.25">
      <c r="L72" s="1"/>
      <c r="M72" s="4"/>
      <c r="N72" s="4"/>
      <c r="O72" s="4"/>
    </row>
    <row r="73" spans="12:15" x14ac:dyDescent="0.25">
      <c r="L73" s="1"/>
      <c r="M73" s="4"/>
      <c r="N73" s="4"/>
      <c r="O73" s="4"/>
    </row>
    <row r="74" spans="12:15" x14ac:dyDescent="0.25">
      <c r="L74" s="1"/>
      <c r="M74" s="4"/>
      <c r="N74" s="4"/>
      <c r="O74" s="4"/>
    </row>
    <row r="75" spans="12:15" x14ac:dyDescent="0.25">
      <c r="L75" s="1"/>
      <c r="M75" s="4"/>
      <c r="N75" s="4"/>
      <c r="O75" s="4"/>
    </row>
    <row r="76" spans="12:15" x14ac:dyDescent="0.25">
      <c r="L76" s="1"/>
      <c r="M76" s="4"/>
      <c r="N76" s="4"/>
      <c r="O76" s="4"/>
    </row>
    <row r="77" spans="12:15" x14ac:dyDescent="0.25">
      <c r="L77" s="1"/>
      <c r="M77" s="4"/>
      <c r="N77" s="4"/>
      <c r="O77" s="4"/>
    </row>
    <row r="78" spans="12:15" x14ac:dyDescent="0.25">
      <c r="L78" s="1"/>
      <c r="M78" s="4"/>
      <c r="N78" s="4"/>
      <c r="O78" s="4"/>
    </row>
    <row r="79" spans="12:15" x14ac:dyDescent="0.25">
      <c r="L79" s="1"/>
      <c r="M79" s="4"/>
      <c r="N79" s="4"/>
      <c r="O79" s="4"/>
    </row>
    <row r="80" spans="12:15" x14ac:dyDescent="0.25">
      <c r="L80" s="1"/>
      <c r="M80" s="4"/>
      <c r="N80" s="4"/>
      <c r="O80" s="4"/>
    </row>
    <row r="81" spans="12:15" x14ac:dyDescent="0.25">
      <c r="L81" s="1"/>
      <c r="M81" s="4"/>
      <c r="N81" s="4"/>
      <c r="O81" s="4"/>
    </row>
    <row r="82" spans="12:15" x14ac:dyDescent="0.25">
      <c r="L82" s="1"/>
      <c r="M82" s="4"/>
      <c r="N82" s="4"/>
      <c r="O82" s="4"/>
    </row>
    <row r="83" spans="12:15" x14ac:dyDescent="0.25">
      <c r="L83" s="1"/>
      <c r="M83" s="4"/>
      <c r="N83" s="4"/>
      <c r="O83" s="4"/>
    </row>
    <row r="84" spans="12:15" x14ac:dyDescent="0.25">
      <c r="L84" s="1"/>
      <c r="M84" s="4"/>
      <c r="N84" s="4"/>
      <c r="O84" s="4"/>
    </row>
    <row r="85" spans="12:15" x14ac:dyDescent="0.25">
      <c r="L85" s="1"/>
      <c r="M85" s="4"/>
      <c r="N85" s="4"/>
      <c r="O85" s="4"/>
    </row>
    <row r="86" spans="12:15" x14ac:dyDescent="0.25">
      <c r="L86" s="1"/>
      <c r="M86" s="4"/>
      <c r="N86" s="4"/>
      <c r="O86" s="4"/>
    </row>
    <row r="87" spans="12:15" x14ac:dyDescent="0.25">
      <c r="L87" s="1"/>
      <c r="M87" s="4"/>
      <c r="N87" s="4"/>
      <c r="O87" s="4"/>
    </row>
    <row r="88" spans="12:15" x14ac:dyDescent="0.25">
      <c r="L88" s="1"/>
      <c r="M88" s="4"/>
      <c r="N88" s="4"/>
      <c r="O88" s="4"/>
    </row>
    <row r="89" spans="12:15" x14ac:dyDescent="0.25">
      <c r="L89" s="1"/>
      <c r="M89" s="4"/>
      <c r="N89" s="4"/>
      <c r="O89" s="4"/>
    </row>
    <row r="90" spans="12:15" x14ac:dyDescent="0.25">
      <c r="L90" s="1"/>
      <c r="M90" s="4"/>
      <c r="N90" s="4"/>
      <c r="O90" s="4"/>
    </row>
    <row r="91" spans="12:15" x14ac:dyDescent="0.25">
      <c r="L91" s="1"/>
      <c r="M91" s="4"/>
      <c r="N91" s="4"/>
      <c r="O91" s="4"/>
    </row>
    <row r="92" spans="12:15" x14ac:dyDescent="0.25">
      <c r="L92" s="1"/>
      <c r="M92" s="4"/>
      <c r="N92" s="4"/>
      <c r="O92" s="4"/>
    </row>
    <row r="93" spans="12:15" x14ac:dyDescent="0.25">
      <c r="L93" s="1"/>
      <c r="M93" s="4"/>
      <c r="N93" s="4"/>
      <c r="O93" s="4"/>
    </row>
    <row r="94" spans="12:15" x14ac:dyDescent="0.25">
      <c r="L94" s="1"/>
      <c r="M94" s="4"/>
      <c r="N94" s="4"/>
      <c r="O94" s="4"/>
    </row>
    <row r="95" spans="12:15" x14ac:dyDescent="0.25">
      <c r="L95" s="1"/>
      <c r="M95" s="4"/>
      <c r="N95" s="4"/>
      <c r="O95" s="4"/>
    </row>
    <row r="96" spans="12:15" x14ac:dyDescent="0.25">
      <c r="L96" s="1"/>
      <c r="M96" s="4"/>
      <c r="N96" s="4"/>
      <c r="O96" s="4"/>
    </row>
    <row r="97" spans="12:15" x14ac:dyDescent="0.25">
      <c r="L97" s="1"/>
      <c r="M97" s="4"/>
      <c r="N97" s="4"/>
      <c r="O97" s="4"/>
    </row>
    <row r="98" spans="12:15" x14ac:dyDescent="0.25">
      <c r="L98" s="1"/>
      <c r="M98" s="4"/>
      <c r="N98" s="4"/>
      <c r="O98" s="4"/>
    </row>
    <row r="99" spans="12:15" x14ac:dyDescent="0.25">
      <c r="L99" s="1"/>
      <c r="M99" s="4"/>
      <c r="N99" s="4"/>
      <c r="O99" s="4"/>
    </row>
    <row r="100" spans="12:15" x14ac:dyDescent="0.25">
      <c r="L100" s="1"/>
      <c r="M100" s="4"/>
      <c r="N100" s="4"/>
      <c r="O100" s="4"/>
    </row>
    <row r="101" spans="12:15" x14ac:dyDescent="0.25">
      <c r="L101" s="1"/>
      <c r="M101" s="4"/>
      <c r="N101" s="4"/>
      <c r="O10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35F5-065E-464C-963E-D14D1F4A5F22}">
  <dimension ref="A1:Z101"/>
  <sheetViews>
    <sheetView workbookViewId="0">
      <selection activeCell="S55" sqref="S55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4.7109375" customWidth="1"/>
    <col min="4" max="4" width="21.85546875" style="3" bestFit="1" customWidth="1"/>
    <col min="5" max="5" width="21.85546875" style="3" hidden="1" customWidth="1"/>
    <col min="6" max="6" width="13.7109375" bestFit="1" customWidth="1"/>
    <col min="7" max="7" width="8" customWidth="1"/>
    <col min="8" max="8" width="14.28515625" customWidth="1"/>
    <col min="9" max="9" width="11.140625" customWidth="1"/>
    <col min="10" max="11" width="14.28515625" customWidth="1"/>
    <col min="12" max="12" width="12.28515625" customWidth="1"/>
    <col min="13" max="14" width="13.28515625" style="3" customWidth="1"/>
    <col min="15" max="15" width="15.42578125" style="3" customWidth="1"/>
    <col min="16" max="16" width="11.7109375" customWidth="1"/>
    <col min="18" max="18" width="11.28515625" customWidth="1"/>
    <col min="19" max="19" width="2.28515625" customWidth="1"/>
    <col min="20" max="20" width="11.7109375" bestFit="1" customWidth="1"/>
    <col min="21" max="21" width="14.7109375" customWidth="1"/>
    <col min="22" max="22" width="2.28515625" customWidth="1"/>
    <col min="23" max="23" width="18.140625" customWidth="1"/>
    <col min="24" max="24" width="17.85546875" customWidth="1"/>
  </cols>
  <sheetData>
    <row r="1" spans="1:26" s="5" customFormat="1" ht="45" x14ac:dyDescent="0.25">
      <c r="A1" s="19" t="s">
        <v>134</v>
      </c>
      <c r="B1" s="20" t="s">
        <v>31</v>
      </c>
      <c r="C1" s="20" t="s">
        <v>116</v>
      </c>
      <c r="D1" s="20" t="s">
        <v>113</v>
      </c>
      <c r="E1" s="20" t="s">
        <v>140</v>
      </c>
      <c r="F1" s="20" t="s">
        <v>30</v>
      </c>
      <c r="G1" s="20" t="s">
        <v>110</v>
      </c>
      <c r="H1" s="20" t="s">
        <v>109</v>
      </c>
      <c r="I1" s="20" t="s">
        <v>112</v>
      </c>
      <c r="J1" s="20" t="s">
        <v>111</v>
      </c>
      <c r="K1" s="20" t="s">
        <v>115</v>
      </c>
      <c r="L1" s="20" t="s">
        <v>136</v>
      </c>
      <c r="M1" s="20" t="s">
        <v>137</v>
      </c>
      <c r="N1" s="20" t="s">
        <v>138</v>
      </c>
      <c r="O1" s="20" t="s">
        <v>139</v>
      </c>
      <c r="P1" s="21" t="s">
        <v>2</v>
      </c>
      <c r="R1" s="16" t="s">
        <v>49</v>
      </c>
      <c r="S1" s="13"/>
      <c r="T1" s="27" t="s">
        <v>31</v>
      </c>
      <c r="U1" s="25" t="s">
        <v>116</v>
      </c>
      <c r="V1" s="13"/>
      <c r="W1" s="13" t="s">
        <v>30</v>
      </c>
      <c r="X1" s="13" t="s">
        <v>114</v>
      </c>
      <c r="Y1"/>
      <c r="Z1"/>
    </row>
    <row r="2" spans="1:26" x14ac:dyDescent="0.25">
      <c r="A2" t="s">
        <v>78</v>
      </c>
      <c r="B2" s="2" t="s">
        <v>41</v>
      </c>
      <c r="C2" t="str">
        <f>INDEX(Típusok4[],MATCH(Rendelések4[[#This Row],[Típus]],Típusok4[Típus],0),2)</f>
        <v>CT-117</v>
      </c>
      <c r="D2" s="14" t="str">
        <f>INDEX(Országok4[],MATCH(Rendelések4[[#This Row],[Célország]],Országok4[Célország],0),2)</f>
        <v>Brent Brennan</v>
      </c>
      <c r="E2" s="14" t="s">
        <v>142</v>
      </c>
      <c r="F2" t="s">
        <v>7</v>
      </c>
      <c r="G2" s="12" t="str">
        <f>IF(Rendelések4[[#This Row],[Max. várakozási idő]]&lt;10,"!","")</f>
        <v/>
      </c>
      <c r="H2" s="9">
        <v>44331</v>
      </c>
      <c r="I2" s="10">
        <v>16</v>
      </c>
      <c r="J2" s="9">
        <f>Rendelések4[[#This Row],[Rendelés dátuma]]+minimum</f>
        <v>44336</v>
      </c>
      <c r="K2" s="9">
        <f>Rendelések4[[#This Row],[Rendelés dátuma]]+Rendelések4[[#This Row],[Max. várakozási idő]]</f>
        <v>44347</v>
      </c>
      <c r="L2" s="22">
        <v>14200</v>
      </c>
      <c r="M2" s="28">
        <v>15</v>
      </c>
      <c r="N2" s="22">
        <f>Rendelések4[[#This Row],[Egységár (euró)]]*Rendelések4[[#This Row],[Rendelt mennyiség]]</f>
        <v>213000</v>
      </c>
      <c r="O2" s="24">
        <f>Rendelések4[[#This Row],[Fizetendő (euró)]]*$R$2</f>
        <v>76680000</v>
      </c>
      <c r="P2" s="7" t="s">
        <v>0</v>
      </c>
      <c r="R2" s="18">
        <v>360</v>
      </c>
      <c r="S2" s="1"/>
      <c r="T2" s="6" t="s">
        <v>34</v>
      </c>
      <c r="U2" s="26" t="s">
        <v>117</v>
      </c>
      <c r="V2" s="1"/>
      <c r="W2" s="6" t="s">
        <v>3</v>
      </c>
      <c r="X2" s="6" t="s">
        <v>55</v>
      </c>
    </row>
    <row r="3" spans="1:26" x14ac:dyDescent="0.25">
      <c r="A3" t="s">
        <v>81</v>
      </c>
      <c r="B3" s="2" t="s">
        <v>48</v>
      </c>
      <c r="C3" t="str">
        <f>INDEX(Típusok4[],MATCH(Rendelések4[[#This Row],[Típus]],Típusok4[Típus],0),2)</f>
        <v>CT-112</v>
      </c>
      <c r="D3" s="14" t="str">
        <f>INDEX(Országok4[],MATCH(Rendelések4[[#This Row],[Célország]],Országok4[Célország],0),2)</f>
        <v>Brent Brennan</v>
      </c>
      <c r="E3" s="14" t="s">
        <v>142</v>
      </c>
      <c r="F3" t="s">
        <v>7</v>
      </c>
      <c r="G3" s="12" t="str">
        <f>IF(Rendelések4[[#This Row],[Max. várakozási idő]]&lt;10,"!","")</f>
        <v/>
      </c>
      <c r="H3" s="9">
        <v>44398</v>
      </c>
      <c r="I3" s="10">
        <v>20</v>
      </c>
      <c r="J3" s="9">
        <f>Rendelések4[[#This Row],[Rendelés dátuma]]+minimum</f>
        <v>44403</v>
      </c>
      <c r="K3" s="9">
        <f>Rendelések4[[#This Row],[Rendelés dátuma]]+Rendelések4[[#This Row],[Max. várakozási idő]]</f>
        <v>44418</v>
      </c>
      <c r="L3" s="22">
        <v>13300</v>
      </c>
      <c r="M3" s="28">
        <v>16</v>
      </c>
      <c r="N3" s="22">
        <f>Rendelések4[[#This Row],[Egységár (euró)]]*Rendelések4[[#This Row],[Rendelt mennyiség]]</f>
        <v>212800</v>
      </c>
      <c r="O3" s="24">
        <f>Rendelések4[[#This Row],[Fizetendő (euró)]]*$R$2</f>
        <v>76608000</v>
      </c>
      <c r="P3" s="7" t="s">
        <v>0</v>
      </c>
      <c r="T3" s="6" t="s">
        <v>35</v>
      </c>
      <c r="U3" s="26" t="s">
        <v>118</v>
      </c>
      <c r="W3" s="6" t="s">
        <v>4</v>
      </c>
      <c r="X3" s="6" t="s">
        <v>54</v>
      </c>
    </row>
    <row r="4" spans="1:26" hidden="1" x14ac:dyDescent="0.25">
      <c r="A4" t="s">
        <v>60</v>
      </c>
      <c r="B4" s="2" t="s">
        <v>40</v>
      </c>
      <c r="C4" t="str">
        <f>INDEX(Típusok4[],MATCH(Rendelések4[[#This Row],[Típus]],Típusok4[Típus],0),2)</f>
        <v>CT-107</v>
      </c>
      <c r="D4" s="14" t="str">
        <f>INDEX(Országok4[],MATCH(Rendelések4[[#This Row],[Célország]],Országok4[Célország],0),2)</f>
        <v>Brent Brennan</v>
      </c>
      <c r="E4" s="14" t="s">
        <v>142</v>
      </c>
      <c r="F4" t="s">
        <v>7</v>
      </c>
      <c r="G4" s="12" t="str">
        <f>IF(Rendelések4[[#This Row],[Max. várakozási idő]]&lt;10,"!","")</f>
        <v/>
      </c>
      <c r="H4" s="9">
        <v>44112</v>
      </c>
      <c r="I4" s="10">
        <v>15</v>
      </c>
      <c r="J4" s="9">
        <f>Rendelések4[[#This Row],[Rendelés dátuma]]+minimum</f>
        <v>44117</v>
      </c>
      <c r="K4" s="9">
        <f>Rendelések4[[#This Row],[Rendelés dátuma]]+Rendelések4[[#This Row],[Max. várakozási idő]]</f>
        <v>44127</v>
      </c>
      <c r="L4" s="22">
        <v>14300</v>
      </c>
      <c r="M4" s="28">
        <v>14</v>
      </c>
      <c r="N4" s="22">
        <f>Rendelések4[[#This Row],[Egységár (euró)]]*Rendelések4[[#This Row],[Rendelt mennyiség]]</f>
        <v>200200</v>
      </c>
      <c r="O4" s="24">
        <f>Rendelések4[[#This Row],[Fizetendő (euró)]]*$R$2</f>
        <v>72072000</v>
      </c>
      <c r="P4" s="7" t="s">
        <v>0</v>
      </c>
      <c r="R4" s="29" t="s">
        <v>135</v>
      </c>
      <c r="S4" s="17"/>
      <c r="T4" s="6" t="s">
        <v>43</v>
      </c>
      <c r="U4" s="26" t="s">
        <v>119</v>
      </c>
      <c r="V4" s="17"/>
      <c r="W4" s="6" t="s">
        <v>5</v>
      </c>
      <c r="X4" s="6" t="s">
        <v>50</v>
      </c>
    </row>
    <row r="5" spans="1:26" hidden="1" x14ac:dyDescent="0.25">
      <c r="A5" t="s">
        <v>103</v>
      </c>
      <c r="B5" s="2" t="s">
        <v>43</v>
      </c>
      <c r="C5" t="str">
        <f>INDEX(Típusok4[],MATCH(Rendelések4[[#This Row],[Típus]],Típusok4[Típus],0),2)</f>
        <v>CT-103</v>
      </c>
      <c r="D5" s="14" t="str">
        <f>INDEX(Országok4[],MATCH(Rendelések4[[#This Row],[Célország]],Országok4[Célország],0),2)</f>
        <v>Brent Brennan</v>
      </c>
      <c r="E5" s="14" t="s">
        <v>142</v>
      </c>
      <c r="F5" t="s">
        <v>16</v>
      </c>
      <c r="G5" s="12" t="str">
        <f>IF(Rendelések4[[#This Row],[Max. várakozási idő]]&lt;10,"!","")</f>
        <v>!</v>
      </c>
      <c r="H5" s="9">
        <v>44722</v>
      </c>
      <c r="I5" s="10">
        <v>6</v>
      </c>
      <c r="J5" s="9">
        <f>Rendelések4[[#This Row],[Rendelés dátuma]]+minimum</f>
        <v>44727</v>
      </c>
      <c r="K5" s="9">
        <f>Rendelések4[[#This Row],[Rendelés dátuma]]+Rendelések4[[#This Row],[Max. várakozási idő]]</f>
        <v>44728</v>
      </c>
      <c r="L5" s="22">
        <v>13800</v>
      </c>
      <c r="M5" s="28">
        <v>17</v>
      </c>
      <c r="N5" s="22">
        <f>Rendelések4[[#This Row],[Egységár (euró)]]*Rendelések4[[#This Row],[Rendelt mennyiség]]</f>
        <v>234600</v>
      </c>
      <c r="O5" s="24">
        <f>Rendelések4[[#This Row],[Fizetendő (euró)]]*$R$2</f>
        <v>84456000</v>
      </c>
      <c r="P5" s="7" t="s">
        <v>0</v>
      </c>
      <c r="R5" s="30">
        <v>5</v>
      </c>
      <c r="S5" s="15"/>
      <c r="T5" s="6" t="s">
        <v>38</v>
      </c>
      <c r="U5" s="26" t="s">
        <v>120</v>
      </c>
      <c r="V5" s="15"/>
      <c r="W5" s="6" t="s">
        <v>6</v>
      </c>
      <c r="X5" s="6" t="s">
        <v>56</v>
      </c>
    </row>
    <row r="6" spans="1:26" hidden="1" x14ac:dyDescent="0.25">
      <c r="A6" t="s">
        <v>104</v>
      </c>
      <c r="B6" s="2" t="s">
        <v>36</v>
      </c>
      <c r="C6" t="str">
        <f>INDEX(Típusok4[],MATCH(Rendelések4[[#This Row],[Típus]],Típusok4[Típus],0),2)</f>
        <v>CT-115</v>
      </c>
      <c r="D6" s="14" t="str">
        <f>INDEX(Országok4[],MATCH(Rendelések4[[#This Row],[Célország]],Országok4[Célország],0),2)</f>
        <v>Brent Brennan</v>
      </c>
      <c r="E6" s="14" t="s">
        <v>142</v>
      </c>
      <c r="F6" t="s">
        <v>16</v>
      </c>
      <c r="G6" s="12" t="str">
        <f>IF(Rendelések4[[#This Row],[Max. várakozási idő]]&lt;10,"!","")</f>
        <v/>
      </c>
      <c r="H6" s="9">
        <v>44609</v>
      </c>
      <c r="I6" s="10">
        <v>17</v>
      </c>
      <c r="J6" s="9">
        <f>Rendelések4[[#This Row],[Rendelés dátuma]]+minimum</f>
        <v>44614</v>
      </c>
      <c r="K6" s="9">
        <f>Rendelések4[[#This Row],[Rendelés dátuma]]+Rendelések4[[#This Row],[Max. várakozási idő]]</f>
        <v>44626</v>
      </c>
      <c r="L6" s="22">
        <v>10800</v>
      </c>
      <c r="M6" s="28">
        <v>14</v>
      </c>
      <c r="N6" s="22">
        <f>Rendelések4[[#This Row],[Egységár (euró)]]*Rendelések4[[#This Row],[Rendelt mennyiség]]</f>
        <v>151200</v>
      </c>
      <c r="O6" s="24">
        <f>Rendelések4[[#This Row],[Fizetendő (euró)]]*$R$2</f>
        <v>54432000</v>
      </c>
      <c r="P6" s="7" t="s">
        <v>0</v>
      </c>
      <c r="T6" s="6" t="s">
        <v>47</v>
      </c>
      <c r="U6" s="26" t="s">
        <v>121</v>
      </c>
      <c r="W6" s="6" t="s">
        <v>7</v>
      </c>
      <c r="X6" s="6" t="s">
        <v>58</v>
      </c>
    </row>
    <row r="7" spans="1:26" hidden="1" x14ac:dyDescent="0.25">
      <c r="A7" t="s">
        <v>92</v>
      </c>
      <c r="B7" s="2" t="s">
        <v>44</v>
      </c>
      <c r="C7" t="str">
        <f>INDEX(Típusok4[],MATCH(Rendelések4[[#This Row],[Típus]],Típusok4[Típus],0),2)</f>
        <v>CT-106</v>
      </c>
      <c r="D7" s="14" t="str">
        <f>INDEX(Országok4[],MATCH(Rendelések4[[#This Row],[Célország]],Országok4[Célország],0),2)</f>
        <v>Brent Brennan</v>
      </c>
      <c r="E7" s="14" t="s">
        <v>142</v>
      </c>
      <c r="F7" t="s">
        <v>16</v>
      </c>
      <c r="G7" s="12" t="str">
        <f>IF(Rendelések4[[#This Row],[Max. várakozási idő]]&lt;10,"!","")</f>
        <v>!</v>
      </c>
      <c r="H7" s="9">
        <v>44155</v>
      </c>
      <c r="I7" s="10">
        <v>9</v>
      </c>
      <c r="J7" s="9">
        <f>Rendelések4[[#This Row],[Rendelés dátuma]]+minimum</f>
        <v>44160</v>
      </c>
      <c r="K7" s="9">
        <f>Rendelések4[[#This Row],[Rendelés dátuma]]+Rendelések4[[#This Row],[Max. várakozási idő]]</f>
        <v>44164</v>
      </c>
      <c r="L7" s="22">
        <v>9400</v>
      </c>
      <c r="M7" s="28">
        <v>14</v>
      </c>
      <c r="N7" s="22">
        <f>Rendelések4[[#This Row],[Egységár (euró)]]*Rendelések4[[#This Row],[Rendelt mennyiség]]</f>
        <v>131600</v>
      </c>
      <c r="O7" s="24">
        <f>Rendelések4[[#This Row],[Fizetendő (euró)]]*$R$2</f>
        <v>47376000</v>
      </c>
      <c r="P7" s="7" t="s">
        <v>1</v>
      </c>
      <c r="T7" s="6" t="s">
        <v>44</v>
      </c>
      <c r="U7" s="26" t="s">
        <v>122</v>
      </c>
      <c r="W7" s="6" t="s">
        <v>8</v>
      </c>
      <c r="X7" s="6" t="s">
        <v>53</v>
      </c>
    </row>
    <row r="8" spans="1:26" hidden="1" x14ac:dyDescent="0.25">
      <c r="A8" t="s">
        <v>63</v>
      </c>
      <c r="B8" s="2" t="s">
        <v>33</v>
      </c>
      <c r="C8" t="str">
        <f>INDEX(Típusok4[],MATCH(Rendelések4[[#This Row],[Típus]],Típusok4[Típus],0),2)</f>
        <v>CT-108</v>
      </c>
      <c r="D8" s="14" t="str">
        <f>INDEX(Országok4[],MATCH(Rendelések4[[#This Row],[Célország]],Országok4[Célország],0),2)</f>
        <v>Brent Brennan</v>
      </c>
      <c r="E8" s="14" t="s">
        <v>142</v>
      </c>
      <c r="F8" t="s">
        <v>20</v>
      </c>
      <c r="G8" s="12" t="str">
        <f>IF(Rendelések4[[#This Row],[Max. várakozási idő]]&lt;10,"!","")</f>
        <v>!</v>
      </c>
      <c r="H8" s="9">
        <v>44657</v>
      </c>
      <c r="I8" s="10">
        <v>9</v>
      </c>
      <c r="J8" s="9">
        <f>Rendelések4[[#This Row],[Rendelés dátuma]]+minimum</f>
        <v>44662</v>
      </c>
      <c r="K8" s="9">
        <f>Rendelések4[[#This Row],[Rendelés dátuma]]+Rendelések4[[#This Row],[Max. várakozási idő]]</f>
        <v>44666</v>
      </c>
      <c r="L8" s="22">
        <v>13600</v>
      </c>
      <c r="M8" s="28">
        <v>15</v>
      </c>
      <c r="N8" s="22">
        <f>Rendelések4[[#This Row],[Egységár (euró)]]*Rendelések4[[#This Row],[Rendelt mennyiség]]</f>
        <v>204000</v>
      </c>
      <c r="O8" s="24">
        <f>Rendelések4[[#This Row],[Fizetendő (euró)]]*$R$2</f>
        <v>73440000</v>
      </c>
      <c r="P8" s="7" t="s">
        <v>1</v>
      </c>
      <c r="T8" s="6" t="s">
        <v>40</v>
      </c>
      <c r="U8" s="26" t="s">
        <v>123</v>
      </c>
      <c r="W8" s="6" t="s">
        <v>9</v>
      </c>
      <c r="X8" s="6" t="s">
        <v>54</v>
      </c>
    </row>
    <row r="9" spans="1:26" hidden="1" x14ac:dyDescent="0.25">
      <c r="A9" t="s">
        <v>105</v>
      </c>
      <c r="B9" s="2" t="s">
        <v>41</v>
      </c>
      <c r="C9" t="str">
        <f>INDEX(Típusok4[],MATCH(Rendelések4[[#This Row],[Típus]],Típusok4[Típus],0),2)</f>
        <v>CT-117</v>
      </c>
      <c r="D9" s="14" t="str">
        <f>INDEX(Országok4[],MATCH(Rendelések4[[#This Row],[Célország]],Országok4[Célország],0),2)</f>
        <v>Brent Brennan</v>
      </c>
      <c r="E9" s="14" t="s">
        <v>142</v>
      </c>
      <c r="F9" t="s">
        <v>20</v>
      </c>
      <c r="G9" s="12" t="str">
        <f>IF(Rendelések4[[#This Row],[Max. várakozási idő]]&lt;10,"!","")</f>
        <v/>
      </c>
      <c r="H9" s="9">
        <v>44717</v>
      </c>
      <c r="I9" s="10">
        <v>28</v>
      </c>
      <c r="J9" s="9">
        <f>Rendelések4[[#This Row],[Rendelés dátuma]]+minimum</f>
        <v>44722</v>
      </c>
      <c r="K9" s="9">
        <f>Rendelések4[[#This Row],[Rendelés dátuma]]+Rendelések4[[#This Row],[Max. várakozási idő]]</f>
        <v>44745</v>
      </c>
      <c r="L9" s="22">
        <v>9700</v>
      </c>
      <c r="M9" s="28">
        <v>16</v>
      </c>
      <c r="N9" s="22">
        <f>Rendelések4[[#This Row],[Egységár (euró)]]*Rendelések4[[#This Row],[Rendelt mennyiség]]</f>
        <v>155200</v>
      </c>
      <c r="O9" s="24">
        <f>Rendelések4[[#This Row],[Fizetendő (euró)]]*$R$2</f>
        <v>55872000</v>
      </c>
      <c r="P9" s="7" t="s">
        <v>1</v>
      </c>
      <c r="T9" s="6" t="s">
        <v>33</v>
      </c>
      <c r="U9" s="26" t="s">
        <v>124</v>
      </c>
      <c r="W9" s="6" t="s">
        <v>10</v>
      </c>
      <c r="X9" s="6" t="s">
        <v>52</v>
      </c>
    </row>
    <row r="10" spans="1:26" hidden="1" x14ac:dyDescent="0.25">
      <c r="A10" t="s">
        <v>62</v>
      </c>
      <c r="B10" s="2" t="s">
        <v>38</v>
      </c>
      <c r="C10" t="str">
        <f>INDEX(Típusok4[],MATCH(Rendelések4[[#This Row],[Típus]],Típusok4[Típus],0),2)</f>
        <v>CT-104</v>
      </c>
      <c r="D10" s="14" t="str">
        <f>INDEX(Országok4[],MATCH(Rendelések4[[#This Row],[Célország]],Országok4[Célország],0),2)</f>
        <v>Brent Brennan</v>
      </c>
      <c r="E10" s="14" t="s">
        <v>142</v>
      </c>
      <c r="F10" t="s">
        <v>20</v>
      </c>
      <c r="G10" s="12" t="str">
        <f>IF(Rendelések4[[#This Row],[Max. várakozási idő]]&lt;10,"!","")</f>
        <v/>
      </c>
      <c r="H10" s="9">
        <v>44751</v>
      </c>
      <c r="I10" s="10">
        <v>15</v>
      </c>
      <c r="J10" s="9">
        <f>Rendelések4[[#This Row],[Rendelés dátuma]]+minimum</f>
        <v>44756</v>
      </c>
      <c r="K10" s="9">
        <f>Rendelések4[[#This Row],[Rendelés dátuma]]+Rendelések4[[#This Row],[Max. várakozási idő]]</f>
        <v>44766</v>
      </c>
      <c r="L10" s="22">
        <v>10100</v>
      </c>
      <c r="M10" s="28">
        <v>15</v>
      </c>
      <c r="N10" s="22">
        <f>Rendelések4[[#This Row],[Egységár (euró)]]*Rendelések4[[#This Row],[Rendelt mennyiség]]</f>
        <v>151500</v>
      </c>
      <c r="O10" s="24">
        <f>Rendelések4[[#This Row],[Fizetendő (euró)]]*$R$2</f>
        <v>54540000</v>
      </c>
      <c r="P10" s="7" t="s">
        <v>0</v>
      </c>
      <c r="T10" s="6" t="s">
        <v>45</v>
      </c>
      <c r="U10" s="26" t="s">
        <v>125</v>
      </c>
      <c r="W10" s="6" t="s">
        <v>11</v>
      </c>
      <c r="X10" s="6" t="s">
        <v>52</v>
      </c>
    </row>
    <row r="11" spans="1:26" x14ac:dyDescent="0.25">
      <c r="A11" t="s">
        <v>85</v>
      </c>
      <c r="B11" s="2" t="s">
        <v>47</v>
      </c>
      <c r="C11" t="str">
        <f>INDEX(Típusok4[],MATCH(Rendelések4[[#This Row],[Típus]],Típusok4[Típus],0),2)</f>
        <v>CT-105</v>
      </c>
      <c r="D11" s="14" t="str">
        <f>INDEX(Országok4[],MATCH(Rendelések4[[#This Row],[Célország]],Országok4[Célország],0),2)</f>
        <v>Lars Cobb</v>
      </c>
      <c r="E11" s="14" t="s">
        <v>149</v>
      </c>
      <c r="F11" t="s">
        <v>8</v>
      </c>
      <c r="G11" s="12" t="str">
        <f>IF(Rendelések4[[#This Row],[Max. várakozási idő]]&lt;10,"!","")</f>
        <v/>
      </c>
      <c r="H11" s="9">
        <v>44509</v>
      </c>
      <c r="I11" s="10">
        <v>16</v>
      </c>
      <c r="J11" s="9">
        <f>Rendelések4[[#This Row],[Rendelés dátuma]]+minimum</f>
        <v>44514</v>
      </c>
      <c r="K11" s="9">
        <f>Rendelések4[[#This Row],[Rendelés dátuma]]+Rendelések4[[#This Row],[Max. várakozási idő]]</f>
        <v>44525</v>
      </c>
      <c r="L11" s="22">
        <v>14100</v>
      </c>
      <c r="M11" s="28">
        <v>14</v>
      </c>
      <c r="N11" s="22">
        <f>Rendelések4[[#This Row],[Egységár (euró)]]*Rendelések4[[#This Row],[Rendelt mennyiség]]</f>
        <v>197400</v>
      </c>
      <c r="O11" s="24">
        <f>Rendelések4[[#This Row],[Fizetendő (euró)]]*$R$2</f>
        <v>71064000</v>
      </c>
      <c r="P11" s="7" t="s">
        <v>0</v>
      </c>
      <c r="T11" s="6" t="s">
        <v>37</v>
      </c>
      <c r="U11" s="26" t="s">
        <v>126</v>
      </c>
      <c r="W11" s="6" t="s">
        <v>12</v>
      </c>
      <c r="X11" s="6" t="s">
        <v>51</v>
      </c>
    </row>
    <row r="12" spans="1:26" hidden="1" x14ac:dyDescent="0.25">
      <c r="A12" t="s">
        <v>83</v>
      </c>
      <c r="B12" s="2" t="s">
        <v>48</v>
      </c>
      <c r="C12" t="str">
        <f>INDEX(Típusok4[],MATCH(Rendelések4[[#This Row],[Típus]],Típusok4[Típus],0),2)</f>
        <v>CT-112</v>
      </c>
      <c r="D12" s="14" t="str">
        <f>INDEX(Országok4[],MATCH(Rendelések4[[#This Row],[Célország]],Országok4[Célország],0),2)</f>
        <v>Lars Cobb</v>
      </c>
      <c r="E12" s="14" t="s">
        <v>149</v>
      </c>
      <c r="F12" t="s">
        <v>8</v>
      </c>
      <c r="G12" s="12" t="str">
        <f>IF(Rendelések4[[#This Row],[Max. várakozási idő]]&lt;10,"!","")</f>
        <v/>
      </c>
      <c r="H12" s="9">
        <v>44145</v>
      </c>
      <c r="I12" s="10">
        <v>24</v>
      </c>
      <c r="J12" s="9">
        <f>Rendelések4[[#This Row],[Rendelés dátuma]]+minimum</f>
        <v>44150</v>
      </c>
      <c r="K12" s="9">
        <f>Rendelések4[[#This Row],[Rendelés dátuma]]+Rendelések4[[#This Row],[Max. várakozási idő]]</f>
        <v>44169</v>
      </c>
      <c r="L12" s="22">
        <v>12300</v>
      </c>
      <c r="M12" s="28">
        <v>14</v>
      </c>
      <c r="N12" s="22">
        <f>Rendelések4[[#This Row],[Egységár (euró)]]*Rendelések4[[#This Row],[Rendelt mennyiség]]</f>
        <v>172200</v>
      </c>
      <c r="O12" s="24">
        <f>Rendelések4[[#This Row],[Fizetendő (euró)]]*$R$2</f>
        <v>61992000</v>
      </c>
      <c r="P12" s="7" t="s">
        <v>0</v>
      </c>
      <c r="T12" s="6" t="s">
        <v>32</v>
      </c>
      <c r="U12" s="26" t="s">
        <v>127</v>
      </c>
      <c r="W12" s="6" t="s">
        <v>13</v>
      </c>
      <c r="X12" s="6" t="s">
        <v>51</v>
      </c>
    </row>
    <row r="13" spans="1:26" x14ac:dyDescent="0.25">
      <c r="A13" t="s">
        <v>97</v>
      </c>
      <c r="B13" s="2" t="s">
        <v>34</v>
      </c>
      <c r="C13" t="str">
        <f>INDEX(Típusok4[],MATCH(Rendelések4[[#This Row],[Típus]],Típusok4[Típus],0),2)</f>
        <v>CT-101</v>
      </c>
      <c r="D13" s="14" t="str">
        <f>INDEX(Országok4[],MATCH(Rendelések4[[#This Row],[Célország]],Országok4[Célország],0),2)</f>
        <v>Lars Cobb</v>
      </c>
      <c r="E13" s="14" t="s">
        <v>149</v>
      </c>
      <c r="F13" t="s">
        <v>27</v>
      </c>
      <c r="G13" s="12" t="str">
        <f>IF(Rendelések4[[#This Row],[Max. várakozási idő]]&lt;10,"!","")</f>
        <v/>
      </c>
      <c r="H13" s="9">
        <v>44218</v>
      </c>
      <c r="I13" s="10">
        <v>29</v>
      </c>
      <c r="J13" s="9">
        <f>Rendelések4[[#This Row],[Rendelés dátuma]]+minimum</f>
        <v>44223</v>
      </c>
      <c r="K13" s="9">
        <f>Rendelések4[[#This Row],[Rendelés dátuma]]+Rendelések4[[#This Row],[Max. várakozási idő]]</f>
        <v>44247</v>
      </c>
      <c r="L13" s="22">
        <v>9800</v>
      </c>
      <c r="M13" s="28">
        <v>17</v>
      </c>
      <c r="N13" s="22">
        <f>Rendelések4[[#This Row],[Egységár (euró)]]*Rendelések4[[#This Row],[Rendelt mennyiség]]</f>
        <v>166600</v>
      </c>
      <c r="O13" s="24">
        <f>Rendelések4[[#This Row],[Fizetendő (euró)]]*$R$2</f>
        <v>59976000</v>
      </c>
      <c r="P13" s="7" t="s">
        <v>0</v>
      </c>
      <c r="T13" s="6" t="s">
        <v>48</v>
      </c>
      <c r="U13" s="26" t="s">
        <v>128</v>
      </c>
      <c r="W13" s="6" t="s">
        <v>14</v>
      </c>
      <c r="X13" s="6" t="s">
        <v>54</v>
      </c>
    </row>
    <row r="14" spans="1:26" hidden="1" x14ac:dyDescent="0.25">
      <c r="A14" t="s">
        <v>84</v>
      </c>
      <c r="B14" s="2" t="s">
        <v>42</v>
      </c>
      <c r="C14" t="str">
        <f>INDEX(Típusok4[],MATCH(Rendelések4[[#This Row],[Típus]],Típusok4[Típus],0),2)</f>
        <v>CT-113</v>
      </c>
      <c r="D14" s="14" t="str">
        <f>INDEX(Országok4[],MATCH(Rendelések4[[#This Row],[Célország]],Országok4[Célország],0),2)</f>
        <v>Kelly Cook</v>
      </c>
      <c r="E14" s="14" t="s">
        <v>145</v>
      </c>
      <c r="F14" t="s">
        <v>4</v>
      </c>
      <c r="G14" s="12" t="str">
        <f>IF(Rendelések4[[#This Row],[Max. várakozási idő]]&lt;10,"!","")</f>
        <v/>
      </c>
      <c r="H14" s="9">
        <v>44090</v>
      </c>
      <c r="I14" s="10">
        <v>30</v>
      </c>
      <c r="J14" s="9">
        <f>Rendelések4[[#This Row],[Rendelés dátuma]]+minimum</f>
        <v>44095</v>
      </c>
      <c r="K14" s="9">
        <f>Rendelések4[[#This Row],[Rendelés dátuma]]+Rendelések4[[#This Row],[Max. várakozási idő]]</f>
        <v>44120</v>
      </c>
      <c r="L14" s="22">
        <v>10300</v>
      </c>
      <c r="M14" s="28">
        <v>12</v>
      </c>
      <c r="N14" s="22">
        <f>Rendelések4[[#This Row],[Egységár (euró)]]*Rendelések4[[#This Row],[Rendelt mennyiség]]</f>
        <v>123600</v>
      </c>
      <c r="O14" s="24">
        <f>Rendelések4[[#This Row],[Fizetendő (euró)]]*$R$2</f>
        <v>44496000</v>
      </c>
      <c r="P14" s="7" t="s">
        <v>0</v>
      </c>
      <c r="T14" s="6" t="s">
        <v>42</v>
      </c>
      <c r="U14" s="26" t="s">
        <v>129</v>
      </c>
      <c r="W14" s="6" t="s">
        <v>15</v>
      </c>
      <c r="X14" s="6" t="s">
        <v>54</v>
      </c>
    </row>
    <row r="15" spans="1:26" hidden="1" x14ac:dyDescent="0.25">
      <c r="A15" t="s">
        <v>107</v>
      </c>
      <c r="B15" s="2" t="s">
        <v>41</v>
      </c>
      <c r="C15" t="str">
        <f>INDEX(Típusok4[],MATCH(Rendelések4[[#This Row],[Típus]],Típusok4[Típus],0),2)</f>
        <v>CT-117</v>
      </c>
      <c r="D15" s="14" t="str">
        <f>INDEX(Országok4[],MATCH(Rendelések4[[#This Row],[Célország]],Országok4[Célország],0),2)</f>
        <v>Kelly Cook</v>
      </c>
      <c r="E15" s="14" t="s">
        <v>145</v>
      </c>
      <c r="F15" t="s">
        <v>14</v>
      </c>
      <c r="G15" s="12" t="str">
        <f>IF(Rendelések4[[#This Row],[Max. várakozási idő]]&lt;10,"!","")</f>
        <v/>
      </c>
      <c r="H15" s="9">
        <v>44570</v>
      </c>
      <c r="I15" s="10">
        <v>10</v>
      </c>
      <c r="J15" s="9">
        <f>Rendelések4[[#This Row],[Rendelés dátuma]]+minimum</f>
        <v>44575</v>
      </c>
      <c r="K15" s="9">
        <f>Rendelések4[[#This Row],[Rendelés dátuma]]+Rendelések4[[#This Row],[Max. várakozási idő]]</f>
        <v>44580</v>
      </c>
      <c r="L15" s="22">
        <v>12300</v>
      </c>
      <c r="M15" s="28">
        <v>15</v>
      </c>
      <c r="N15" s="22">
        <f>Rendelések4[[#This Row],[Egységár (euró)]]*Rendelések4[[#This Row],[Rendelt mennyiség]]</f>
        <v>184500</v>
      </c>
      <c r="O15" s="24">
        <f>Rendelések4[[#This Row],[Fizetendő (euró)]]*$R$2</f>
        <v>66420000</v>
      </c>
      <c r="P15" s="7" t="s">
        <v>0</v>
      </c>
      <c r="T15" s="6" t="s">
        <v>46</v>
      </c>
      <c r="U15" s="26" t="s">
        <v>130</v>
      </c>
      <c r="W15" s="6" t="s">
        <v>16</v>
      </c>
      <c r="X15" s="6" t="s">
        <v>58</v>
      </c>
    </row>
    <row r="16" spans="1:26" hidden="1" x14ac:dyDescent="0.25">
      <c r="A16" t="s">
        <v>87</v>
      </c>
      <c r="B16" s="2" t="s">
        <v>45</v>
      </c>
      <c r="C16" t="str">
        <f>INDEX(Típusok4[],MATCH(Rendelések4[[#This Row],[Típus]],Típusok4[Típus],0),2)</f>
        <v>CT-109</v>
      </c>
      <c r="D16" s="14" t="str">
        <f>INDEX(Országok4[],MATCH(Rendelések4[[#This Row],[Célország]],Országok4[Célország],0),2)</f>
        <v>Kelly Cook</v>
      </c>
      <c r="E16" s="14" t="s">
        <v>145</v>
      </c>
      <c r="F16" t="s">
        <v>14</v>
      </c>
      <c r="G16" s="12" t="str">
        <f>IF(Rendelések4[[#This Row],[Max. várakozási idő]]&lt;10,"!","")</f>
        <v/>
      </c>
      <c r="H16" s="9">
        <v>44372</v>
      </c>
      <c r="I16" s="10">
        <v>10</v>
      </c>
      <c r="J16" s="9">
        <f>Rendelések4[[#This Row],[Rendelés dátuma]]+minimum</f>
        <v>44377</v>
      </c>
      <c r="K16" s="9">
        <f>Rendelések4[[#This Row],[Rendelés dátuma]]+Rendelések4[[#This Row],[Max. várakozási idő]]</f>
        <v>44382</v>
      </c>
      <c r="L16" s="22">
        <v>9700</v>
      </c>
      <c r="M16" s="28">
        <v>10</v>
      </c>
      <c r="N16" s="22">
        <f>Rendelések4[[#This Row],[Egységár (euró)]]*Rendelések4[[#This Row],[Rendelt mennyiség]]</f>
        <v>97000</v>
      </c>
      <c r="O16" s="24">
        <f>Rendelések4[[#This Row],[Fizetendő (euró)]]*$R$2</f>
        <v>34920000</v>
      </c>
      <c r="P16" s="7" t="s">
        <v>1</v>
      </c>
      <c r="T16" s="6" t="s">
        <v>36</v>
      </c>
      <c r="U16" s="26" t="s">
        <v>131</v>
      </c>
      <c r="W16" s="6" t="s">
        <v>17</v>
      </c>
      <c r="X16" s="6" t="s">
        <v>52</v>
      </c>
    </row>
    <row r="17" spans="1:24" x14ac:dyDescent="0.25">
      <c r="A17" t="s">
        <v>68</v>
      </c>
      <c r="B17" s="2" t="s">
        <v>32</v>
      </c>
      <c r="C17" t="str">
        <f>INDEX(Típusok4[],MATCH(Rendelések4[[#This Row],[Típus]],Típusok4[Típus],0),2)</f>
        <v>CT-111</v>
      </c>
      <c r="D17" s="14" t="str">
        <f>INDEX(Országok4[],MATCH(Rendelések4[[#This Row],[Célország]],Országok4[Célország],0),2)</f>
        <v>Kelly Cook</v>
      </c>
      <c r="E17" s="14" t="s">
        <v>145</v>
      </c>
      <c r="F17" t="s">
        <v>15</v>
      </c>
      <c r="G17" s="12" t="str">
        <f>IF(Rendelések4[[#This Row],[Max. várakozási idő]]&lt;10,"!","")</f>
        <v/>
      </c>
      <c r="H17" s="9">
        <v>44201</v>
      </c>
      <c r="I17" s="10">
        <v>26</v>
      </c>
      <c r="J17" s="9">
        <f>Rendelések4[[#This Row],[Rendelés dátuma]]+minimum</f>
        <v>44206</v>
      </c>
      <c r="K17" s="9">
        <f>Rendelések4[[#This Row],[Rendelés dátuma]]+Rendelések4[[#This Row],[Max. várakozási idő]]</f>
        <v>44227</v>
      </c>
      <c r="L17" s="22">
        <v>13300</v>
      </c>
      <c r="M17" s="28">
        <v>18</v>
      </c>
      <c r="N17" s="22">
        <f>Rendelések4[[#This Row],[Egységár (euró)]]*Rendelések4[[#This Row],[Rendelt mennyiség]]</f>
        <v>239400</v>
      </c>
      <c r="O17" s="24">
        <f>Rendelések4[[#This Row],[Fizetendő (euró)]]*$R$2</f>
        <v>86184000</v>
      </c>
      <c r="P17" s="7" t="s">
        <v>0</v>
      </c>
      <c r="T17" s="6" t="s">
        <v>39</v>
      </c>
      <c r="U17" s="26" t="s">
        <v>132</v>
      </c>
      <c r="W17" s="6" t="s">
        <v>18</v>
      </c>
      <c r="X17" s="6" t="s">
        <v>52</v>
      </c>
    </row>
    <row r="18" spans="1:24" hidden="1" x14ac:dyDescent="0.25">
      <c r="A18" t="s">
        <v>88</v>
      </c>
      <c r="B18" s="2" t="s">
        <v>41</v>
      </c>
      <c r="C18" t="str">
        <f>INDEX(Típusok4[],MATCH(Rendelések4[[#This Row],[Típus]],Típusok4[Típus],0),2)</f>
        <v>CT-117</v>
      </c>
      <c r="D18" s="14" t="str">
        <f>INDEX(Országok4[],MATCH(Rendelések4[[#This Row],[Célország]],Országok4[Célország],0),2)</f>
        <v>Kelly Cook</v>
      </c>
      <c r="E18" s="14" t="s">
        <v>145</v>
      </c>
      <c r="F18" t="s">
        <v>15</v>
      </c>
      <c r="G18" s="12" t="str">
        <f>IF(Rendelések4[[#This Row],[Max. várakozási idő]]&lt;10,"!","")</f>
        <v/>
      </c>
      <c r="H18" s="9">
        <v>44266</v>
      </c>
      <c r="I18" s="10">
        <v>15</v>
      </c>
      <c r="J18" s="9">
        <f>Rendelések4[[#This Row],[Rendelés dátuma]]+minimum</f>
        <v>44271</v>
      </c>
      <c r="K18" s="9">
        <f>Rendelések4[[#This Row],[Rendelés dátuma]]+Rendelések4[[#This Row],[Max. várakozási idő]]</f>
        <v>44281</v>
      </c>
      <c r="L18" s="22">
        <v>8000</v>
      </c>
      <c r="M18" s="28">
        <v>15</v>
      </c>
      <c r="N18" s="22">
        <f>Rendelések4[[#This Row],[Egységár (euró)]]*Rendelések4[[#This Row],[Rendelt mennyiség]]</f>
        <v>120000</v>
      </c>
      <c r="O18" s="24">
        <f>Rendelések4[[#This Row],[Fizetendő (euró)]]*$R$2</f>
        <v>43200000</v>
      </c>
      <c r="P18" s="7" t="s">
        <v>1</v>
      </c>
      <c r="T18" s="6" t="s">
        <v>41</v>
      </c>
      <c r="U18" s="26" t="s">
        <v>133</v>
      </c>
      <c r="W18" s="6" t="s">
        <v>19</v>
      </c>
      <c r="X18" s="6" t="s">
        <v>54</v>
      </c>
    </row>
    <row r="19" spans="1:24" hidden="1" x14ac:dyDescent="0.25">
      <c r="A19" t="s">
        <v>65</v>
      </c>
      <c r="B19" s="2" t="s">
        <v>37</v>
      </c>
      <c r="C19" t="str">
        <f>INDEX(Típusok4[],MATCH(Rendelések4[[#This Row],[Típus]],Típusok4[Típus],0),2)</f>
        <v>CT-110</v>
      </c>
      <c r="D19" s="14" t="str">
        <f>INDEX(Országok4[],MATCH(Rendelések4[[#This Row],[Célország]],Országok4[Célország],0),2)</f>
        <v>Kelly Cook</v>
      </c>
      <c r="E19" s="14" t="s">
        <v>145</v>
      </c>
      <c r="F19" t="s">
        <v>19</v>
      </c>
      <c r="G19" s="12" t="str">
        <f>IF(Rendelések4[[#This Row],[Max. várakozási idő]]&lt;10,"!","")</f>
        <v/>
      </c>
      <c r="H19" s="9">
        <v>44359</v>
      </c>
      <c r="I19" s="10">
        <v>19</v>
      </c>
      <c r="J19" s="9">
        <f>Rendelések4[[#This Row],[Rendelés dátuma]]+minimum</f>
        <v>44364</v>
      </c>
      <c r="K19" s="9">
        <f>Rendelések4[[#This Row],[Rendelés dátuma]]+Rendelések4[[#This Row],[Max. várakozási idő]]</f>
        <v>44378</v>
      </c>
      <c r="L19" s="22">
        <v>12500</v>
      </c>
      <c r="M19" s="28">
        <v>19</v>
      </c>
      <c r="N19" s="22">
        <f>Rendelések4[[#This Row],[Egységár (euró)]]*Rendelések4[[#This Row],[Rendelt mennyiség]]</f>
        <v>237500</v>
      </c>
      <c r="O19" s="24">
        <f>Rendelések4[[#This Row],[Fizetendő (euró)]]*$R$2</f>
        <v>85500000</v>
      </c>
      <c r="P19" s="7" t="s">
        <v>1</v>
      </c>
      <c r="W19" s="6" t="s">
        <v>20</v>
      </c>
      <c r="X19" s="6" t="s">
        <v>58</v>
      </c>
    </row>
    <row r="20" spans="1:24" x14ac:dyDescent="0.25">
      <c r="A20" t="s">
        <v>79</v>
      </c>
      <c r="B20" s="2" t="s">
        <v>42</v>
      </c>
      <c r="C20" t="str">
        <f>INDEX(Típusok4[],MATCH(Rendelések4[[#This Row],[Típus]],Típusok4[Típus],0),2)</f>
        <v>CT-113</v>
      </c>
      <c r="D20" s="14" t="str">
        <f>INDEX(Országok4[],MATCH(Rendelések4[[#This Row],[Célország]],Országok4[Célország],0),2)</f>
        <v>Kelly Cook</v>
      </c>
      <c r="E20" s="14" t="s">
        <v>145</v>
      </c>
      <c r="F20" t="s">
        <v>19</v>
      </c>
      <c r="G20" s="12" t="str">
        <f>IF(Rendelések4[[#This Row],[Max. várakozási idő]]&lt;10,"!","")</f>
        <v/>
      </c>
      <c r="H20" s="9">
        <v>44442</v>
      </c>
      <c r="I20" s="10">
        <v>12</v>
      </c>
      <c r="J20" s="9">
        <f>Rendelések4[[#This Row],[Rendelés dátuma]]+minimum</f>
        <v>44447</v>
      </c>
      <c r="K20" s="9">
        <f>Rendelések4[[#This Row],[Rendelés dátuma]]+Rendelések4[[#This Row],[Max. várakozási idő]]</f>
        <v>44454</v>
      </c>
      <c r="L20" s="22">
        <v>13700</v>
      </c>
      <c r="M20" s="28">
        <v>13</v>
      </c>
      <c r="N20" s="22">
        <f>Rendelések4[[#This Row],[Egységár (euró)]]*Rendelések4[[#This Row],[Rendelt mennyiség]]</f>
        <v>178100</v>
      </c>
      <c r="O20" s="24">
        <f>Rendelések4[[#This Row],[Fizetendő (euró)]]*$R$2</f>
        <v>64116000</v>
      </c>
      <c r="P20" s="7" t="s">
        <v>0</v>
      </c>
      <c r="W20" s="6" t="s">
        <v>21</v>
      </c>
      <c r="X20" s="6" t="s">
        <v>51</v>
      </c>
    </row>
    <row r="21" spans="1:24" hidden="1" x14ac:dyDescent="0.25">
      <c r="A21" t="s">
        <v>90</v>
      </c>
      <c r="B21" s="2" t="s">
        <v>33</v>
      </c>
      <c r="C21" t="str">
        <f>INDEX(Típusok4[],MATCH(Rendelések4[[#This Row],[Típus]],Típusok4[Típus],0),2)</f>
        <v>CT-108</v>
      </c>
      <c r="D21" s="14" t="str">
        <f>INDEX(Országok4[],MATCH(Rendelések4[[#This Row],[Célország]],Országok4[Célország],0),2)</f>
        <v>Kelly Cook</v>
      </c>
      <c r="E21" s="14" t="s">
        <v>145</v>
      </c>
      <c r="F21" t="s">
        <v>19</v>
      </c>
      <c r="G21" s="12" t="str">
        <f>IF(Rendelések4[[#This Row],[Max. várakozási idő]]&lt;10,"!","")</f>
        <v/>
      </c>
      <c r="H21" s="9">
        <v>44669</v>
      </c>
      <c r="I21" s="10">
        <v>16</v>
      </c>
      <c r="J21" s="9">
        <f>Rendelések4[[#This Row],[Rendelés dátuma]]+minimum</f>
        <v>44674</v>
      </c>
      <c r="K21" s="9">
        <f>Rendelések4[[#This Row],[Rendelés dátuma]]+Rendelések4[[#This Row],[Max. várakozási idő]]</f>
        <v>44685</v>
      </c>
      <c r="L21" s="22">
        <v>12500</v>
      </c>
      <c r="M21" s="28">
        <v>10</v>
      </c>
      <c r="N21" s="22">
        <f>Rendelések4[[#This Row],[Egységár (euró)]]*Rendelések4[[#This Row],[Rendelt mennyiség]]</f>
        <v>125000</v>
      </c>
      <c r="O21" s="24">
        <f>Rendelések4[[#This Row],[Fizetendő (euró)]]*$R$2</f>
        <v>45000000</v>
      </c>
      <c r="P21" s="7" t="s">
        <v>0</v>
      </c>
      <c r="W21" s="6" t="s">
        <v>22</v>
      </c>
      <c r="X21" s="6" t="s">
        <v>55</v>
      </c>
    </row>
    <row r="22" spans="1:24" hidden="1" x14ac:dyDescent="0.25">
      <c r="A22" t="s">
        <v>70</v>
      </c>
      <c r="B22" s="2" t="s">
        <v>43</v>
      </c>
      <c r="C22" t="str">
        <f>INDEX(Típusok4[],MATCH(Rendelések4[[#This Row],[Típus]],Típusok4[Típus],0),2)</f>
        <v>CT-103</v>
      </c>
      <c r="D22" s="14" t="str">
        <f>INDEX(Országok4[],MATCH(Rendelések4[[#This Row],[Célország]],Országok4[Célország],0),2)</f>
        <v>Yetta Ferrell</v>
      </c>
      <c r="E22" s="14" t="s">
        <v>141</v>
      </c>
      <c r="F22" t="s">
        <v>5</v>
      </c>
      <c r="G22" s="12" t="str">
        <f>IF(Rendelések4[[#This Row],[Max. várakozási idő]]&lt;10,"!","")</f>
        <v/>
      </c>
      <c r="H22" s="9">
        <v>44074</v>
      </c>
      <c r="I22" s="10">
        <v>23</v>
      </c>
      <c r="J22" s="9">
        <f>Rendelések4[[#This Row],[Rendelés dátuma]]+minimum</f>
        <v>44079</v>
      </c>
      <c r="K22" s="9">
        <f>Rendelések4[[#This Row],[Rendelés dátuma]]+Rendelések4[[#This Row],[Max. várakozási idő]]</f>
        <v>44097</v>
      </c>
      <c r="L22" s="22">
        <v>12700</v>
      </c>
      <c r="M22" s="28">
        <v>12</v>
      </c>
      <c r="N22" s="22">
        <f>Rendelések4[[#This Row],[Egységár (euró)]]*Rendelések4[[#This Row],[Rendelt mennyiség]]</f>
        <v>152400</v>
      </c>
      <c r="O22" s="24">
        <f>Rendelések4[[#This Row],[Fizetendő (euró)]]*$R$2</f>
        <v>54864000</v>
      </c>
      <c r="P22" s="7" t="s">
        <v>1</v>
      </c>
      <c r="W22" s="6" t="s">
        <v>23</v>
      </c>
      <c r="X22" s="6" t="s">
        <v>51</v>
      </c>
    </row>
    <row r="23" spans="1:24" x14ac:dyDescent="0.25">
      <c r="A23" t="s">
        <v>71</v>
      </c>
      <c r="B23" s="2" t="s">
        <v>32</v>
      </c>
      <c r="C23" t="str">
        <f>INDEX(Típusok4[],MATCH(Rendelések4[[#This Row],[Típus]],Típusok4[Típus],0),2)</f>
        <v>CT-111</v>
      </c>
      <c r="D23" s="14" t="str">
        <f>INDEX(Országok4[],MATCH(Rendelések4[[#This Row],[Célország]],Országok4[Célország],0),2)</f>
        <v>Yetta Ferrell</v>
      </c>
      <c r="E23" s="14" t="s">
        <v>141</v>
      </c>
      <c r="F23" t="s">
        <v>25</v>
      </c>
      <c r="G23" s="12" t="str">
        <f>IF(Rendelések4[[#This Row],[Max. várakozási idő]]&lt;10,"!","")</f>
        <v/>
      </c>
      <c r="H23" s="9">
        <v>44237</v>
      </c>
      <c r="I23" s="10">
        <v>30</v>
      </c>
      <c r="J23" s="9">
        <f>Rendelések4[[#This Row],[Rendelés dátuma]]+minimum</f>
        <v>44242</v>
      </c>
      <c r="K23" s="9">
        <f>Rendelések4[[#This Row],[Rendelés dátuma]]+Rendelések4[[#This Row],[Max. várakozási idő]]</f>
        <v>44267</v>
      </c>
      <c r="L23" s="22">
        <v>13800</v>
      </c>
      <c r="M23" s="28">
        <v>16</v>
      </c>
      <c r="N23" s="22">
        <f>Rendelések4[[#This Row],[Egységár (euró)]]*Rendelések4[[#This Row],[Rendelt mennyiség]]</f>
        <v>220800</v>
      </c>
      <c r="O23" s="24">
        <f>Rendelések4[[#This Row],[Fizetendő (euró)]]*$R$2</f>
        <v>79488000</v>
      </c>
      <c r="P23" s="7" t="s">
        <v>0</v>
      </c>
      <c r="W23" s="6" t="s">
        <v>24</v>
      </c>
      <c r="X23" s="6" t="s">
        <v>57</v>
      </c>
    </row>
    <row r="24" spans="1:24" hidden="1" x14ac:dyDescent="0.25">
      <c r="A24" t="s">
        <v>59</v>
      </c>
      <c r="B24" s="2" t="s">
        <v>35</v>
      </c>
      <c r="C24" t="str">
        <f>INDEX(Típusok4[],MATCH(Rendelések4[[#This Row],[Típus]],Típusok4[Típus],0),2)</f>
        <v>CT-102</v>
      </c>
      <c r="D24" s="14" t="str">
        <f>INDEX(Országok4[],MATCH(Rendelések4[[#This Row],[Célország]],Országok4[Célország],0),2)</f>
        <v>Yetta Ferrell</v>
      </c>
      <c r="E24" s="14" t="s">
        <v>141</v>
      </c>
      <c r="F24" t="s">
        <v>25</v>
      </c>
      <c r="G24" s="11" t="str">
        <f>IF(Rendelések4[[#This Row],[Max. várakozási idő]]&lt;10,"!","")</f>
        <v/>
      </c>
      <c r="H24" s="9">
        <v>44499</v>
      </c>
      <c r="I24" s="10">
        <v>16</v>
      </c>
      <c r="J24" s="9">
        <f>Rendelések4[[#This Row],[Rendelés dátuma]]+minimum</f>
        <v>44504</v>
      </c>
      <c r="K24" s="9">
        <f>Rendelések4[[#This Row],[Rendelés dátuma]]+Rendelések4[[#This Row],[Max. várakozási idő]]</f>
        <v>44515</v>
      </c>
      <c r="L24" s="22">
        <v>13100</v>
      </c>
      <c r="M24" s="28">
        <v>10</v>
      </c>
      <c r="N24" s="22">
        <f>Rendelések4[[#This Row],[Egységár (euró)]]*Rendelések4[[#This Row],[Rendelt mennyiség]]</f>
        <v>131000</v>
      </c>
      <c r="O24" s="24">
        <f>Rendelések4[[#This Row],[Fizetendő (euró)]]*$R$2</f>
        <v>47160000</v>
      </c>
      <c r="P24" s="7" t="s">
        <v>0</v>
      </c>
      <c r="W24" s="6" t="s">
        <v>25</v>
      </c>
      <c r="X24" s="6" t="s">
        <v>50</v>
      </c>
    </row>
    <row r="25" spans="1:24" x14ac:dyDescent="0.25">
      <c r="A25" t="s">
        <v>100</v>
      </c>
      <c r="B25" s="2" t="s">
        <v>34</v>
      </c>
      <c r="C25" t="str">
        <f>INDEX(Típusok4[],MATCH(Rendelések4[[#This Row],[Típus]],Típusok4[Típus],0),2)</f>
        <v>CT-101</v>
      </c>
      <c r="D25" s="14" t="str">
        <f>INDEX(Országok4[],MATCH(Rendelések4[[#This Row],[Célország]],Országok4[Célország],0),2)</f>
        <v>Brittany Francis</v>
      </c>
      <c r="E25" s="14" t="s">
        <v>147</v>
      </c>
      <c r="F25" t="s">
        <v>6</v>
      </c>
      <c r="G25" s="12" t="str">
        <f>IF(Rendelések4[[#This Row],[Max. várakozási idő]]&lt;10,"!","")</f>
        <v/>
      </c>
      <c r="H25" s="9">
        <v>44224</v>
      </c>
      <c r="I25" s="10">
        <v>29</v>
      </c>
      <c r="J25" s="9">
        <f>Rendelések4[[#This Row],[Rendelés dátuma]]+minimum</f>
        <v>44229</v>
      </c>
      <c r="K25" s="9">
        <f>Rendelések4[[#This Row],[Rendelés dátuma]]+Rendelések4[[#This Row],[Max. várakozási idő]]</f>
        <v>44253</v>
      </c>
      <c r="L25" s="22">
        <v>11900</v>
      </c>
      <c r="M25" s="28">
        <v>20</v>
      </c>
      <c r="N25" s="22">
        <f>Rendelések4[[#This Row],[Egységár (euró)]]*Rendelések4[[#This Row],[Rendelt mennyiség]]</f>
        <v>238000</v>
      </c>
      <c r="O25" s="24">
        <f>Rendelések4[[#This Row],[Fizetendő (euró)]]*$R$2</f>
        <v>85680000</v>
      </c>
      <c r="P25" s="7" t="s">
        <v>0</v>
      </c>
      <c r="W25" s="6" t="s">
        <v>26</v>
      </c>
      <c r="X25" s="6" t="s">
        <v>57</v>
      </c>
    </row>
    <row r="26" spans="1:24" hidden="1" x14ac:dyDescent="0.25">
      <c r="A26" t="s">
        <v>67</v>
      </c>
      <c r="B26" s="2" t="s">
        <v>33</v>
      </c>
      <c r="C26" t="str">
        <f>INDEX(Típusok4[],MATCH(Rendelések4[[#This Row],[Típus]],Típusok4[Típus],0),2)</f>
        <v>CT-108</v>
      </c>
      <c r="D26" s="14" t="str">
        <f>INDEX(Országok4[],MATCH(Rendelések4[[#This Row],[Célország]],Országok4[Célország],0),2)</f>
        <v>Brittany Francis</v>
      </c>
      <c r="E26" s="14" t="s">
        <v>147</v>
      </c>
      <c r="F26" t="s">
        <v>6</v>
      </c>
      <c r="G26" s="12" t="str">
        <f>IF(Rendelések4[[#This Row],[Max. várakozási idő]]&lt;10,"!","")</f>
        <v>!</v>
      </c>
      <c r="H26" s="9">
        <v>44704</v>
      </c>
      <c r="I26" s="10">
        <v>9</v>
      </c>
      <c r="J26" s="9">
        <f>Rendelések4[[#This Row],[Rendelés dátuma]]+minimum</f>
        <v>44709</v>
      </c>
      <c r="K26" s="9">
        <f>Rendelések4[[#This Row],[Rendelés dátuma]]+Rendelések4[[#This Row],[Max. várakozási idő]]</f>
        <v>44713</v>
      </c>
      <c r="L26" s="22">
        <v>9200</v>
      </c>
      <c r="M26" s="28">
        <v>13</v>
      </c>
      <c r="N26" s="22">
        <f>Rendelések4[[#This Row],[Egységár (euró)]]*Rendelések4[[#This Row],[Rendelt mennyiség]]</f>
        <v>119600</v>
      </c>
      <c r="O26" s="24">
        <f>Rendelések4[[#This Row],[Fizetendő (euró)]]*$R$2</f>
        <v>43056000</v>
      </c>
      <c r="P26" s="7" t="s">
        <v>0</v>
      </c>
      <c r="W26" s="6" t="s">
        <v>27</v>
      </c>
      <c r="X26" s="6" t="s">
        <v>53</v>
      </c>
    </row>
    <row r="27" spans="1:24" hidden="1" x14ac:dyDescent="0.25">
      <c r="A27" t="s">
        <v>96</v>
      </c>
      <c r="B27" s="2" t="s">
        <v>37</v>
      </c>
      <c r="C27" t="str">
        <f>INDEX(Típusok4[],MATCH(Rendelések4[[#This Row],[Típus]],Típusok4[Típus],0),2)</f>
        <v>CT-110</v>
      </c>
      <c r="D27" s="14" t="str">
        <f>INDEX(Országok4[],MATCH(Rendelések4[[#This Row],[Célország]],Országok4[Célország],0),2)</f>
        <v>Brittany Francis</v>
      </c>
      <c r="E27" s="14" t="s">
        <v>147</v>
      </c>
      <c r="F27" t="s">
        <v>6</v>
      </c>
      <c r="G27" s="12" t="str">
        <f>IF(Rendelések4[[#This Row],[Max. várakozási idő]]&lt;10,"!","")</f>
        <v/>
      </c>
      <c r="H27" s="9">
        <v>44178</v>
      </c>
      <c r="I27" s="10">
        <v>14</v>
      </c>
      <c r="J27" s="9">
        <f>Rendelések4[[#This Row],[Rendelés dátuma]]+minimum</f>
        <v>44183</v>
      </c>
      <c r="K27" s="9">
        <f>Rendelések4[[#This Row],[Rendelés dátuma]]+Rendelések4[[#This Row],[Max. várakozási idő]]</f>
        <v>44192</v>
      </c>
      <c r="L27" s="22">
        <v>10500</v>
      </c>
      <c r="M27" s="28">
        <v>10</v>
      </c>
      <c r="N27" s="22">
        <f>Rendelések4[[#This Row],[Egységár (euró)]]*Rendelések4[[#This Row],[Rendelt mennyiség]]</f>
        <v>105000</v>
      </c>
      <c r="O27" s="24">
        <f>Rendelések4[[#This Row],[Fizetendő (euró)]]*$R$2</f>
        <v>37800000</v>
      </c>
      <c r="P27" s="7" t="s">
        <v>0</v>
      </c>
      <c r="W27" s="6" t="s">
        <v>28</v>
      </c>
      <c r="X27" s="6" t="s">
        <v>58</v>
      </c>
    </row>
    <row r="28" spans="1:24" hidden="1" x14ac:dyDescent="0.25">
      <c r="A28" t="s">
        <v>98</v>
      </c>
      <c r="B28" s="2" t="s">
        <v>41</v>
      </c>
      <c r="C28" t="str">
        <f>INDEX(Típusok4[],MATCH(Rendelések4[[#This Row],[Típus]],Típusok4[Típus],0),2)</f>
        <v>CT-117</v>
      </c>
      <c r="D28" s="14" t="str">
        <f>INDEX(Országok4[],MATCH(Rendelések4[[#This Row],[Célország]],Országok4[Célország],0),2)</f>
        <v>Malcolm Klein</v>
      </c>
      <c r="E28" s="14" t="s">
        <v>146</v>
      </c>
      <c r="F28" t="s">
        <v>3</v>
      </c>
      <c r="G28" s="12" t="str">
        <f>IF(Rendelések4[[#This Row],[Max. várakozási idő]]&lt;10,"!","")</f>
        <v/>
      </c>
      <c r="H28" s="9">
        <v>44167</v>
      </c>
      <c r="I28" s="10">
        <v>22</v>
      </c>
      <c r="J28" s="9">
        <f>Rendelések4[[#This Row],[Rendelés dátuma]]+minimum</f>
        <v>44172</v>
      </c>
      <c r="K28" s="9">
        <f>Rendelések4[[#This Row],[Rendelés dátuma]]+Rendelések4[[#This Row],[Max. várakozási idő]]</f>
        <v>44189</v>
      </c>
      <c r="L28" s="22">
        <v>14700</v>
      </c>
      <c r="M28" s="28">
        <v>14</v>
      </c>
      <c r="N28" s="22">
        <f>Rendelések4[[#This Row],[Egységár (euró)]]*Rendelések4[[#This Row],[Rendelt mennyiség]]</f>
        <v>205800</v>
      </c>
      <c r="O28" s="24">
        <f>Rendelések4[[#This Row],[Fizetendő (euró)]]*$R$2</f>
        <v>74088000</v>
      </c>
      <c r="P28" s="7" t="s">
        <v>0</v>
      </c>
      <c r="W28" s="6" t="s">
        <v>29</v>
      </c>
      <c r="X28" s="6" t="s">
        <v>50</v>
      </c>
    </row>
    <row r="29" spans="1:24" hidden="1" x14ac:dyDescent="0.25">
      <c r="A29" t="s">
        <v>86</v>
      </c>
      <c r="B29" s="2" t="s">
        <v>39</v>
      </c>
      <c r="C29" t="str">
        <f>INDEX(Típusok4[],MATCH(Rendelések4[[#This Row],[Típus]],Típusok4[Típus],0),2)</f>
        <v>CT-116</v>
      </c>
      <c r="D29" s="14" t="str">
        <f>INDEX(Országok4[],MATCH(Rendelések4[[#This Row],[Célország]],Országok4[Célország],0),2)</f>
        <v>Malcolm Klein</v>
      </c>
      <c r="E29" s="14" t="s">
        <v>146</v>
      </c>
      <c r="F29" t="s">
        <v>3</v>
      </c>
      <c r="G29" s="12" t="str">
        <f>IF(Rendelések4[[#This Row],[Max. várakozási idő]]&lt;10,"!","")</f>
        <v/>
      </c>
      <c r="H29" s="9">
        <v>44109</v>
      </c>
      <c r="I29" s="10">
        <v>12</v>
      </c>
      <c r="J29" s="9">
        <f>Rendelések4[[#This Row],[Rendelés dátuma]]+minimum</f>
        <v>44114</v>
      </c>
      <c r="K29" s="9">
        <f>Rendelések4[[#This Row],[Rendelés dátuma]]+Rendelések4[[#This Row],[Max. várakozási idő]]</f>
        <v>44121</v>
      </c>
      <c r="L29" s="22">
        <v>11100</v>
      </c>
      <c r="M29" s="28">
        <v>16</v>
      </c>
      <c r="N29" s="22">
        <f>Rendelések4[[#This Row],[Egységár (euró)]]*Rendelések4[[#This Row],[Rendelt mennyiség]]</f>
        <v>177600</v>
      </c>
      <c r="O29" s="24">
        <f>Rendelések4[[#This Row],[Fizetendő (euró)]]*$R$2</f>
        <v>63936000</v>
      </c>
      <c r="P29" s="7" t="s">
        <v>0</v>
      </c>
    </row>
    <row r="30" spans="1:24" hidden="1" x14ac:dyDescent="0.25">
      <c r="A30" t="s">
        <v>93</v>
      </c>
      <c r="B30" s="2" t="s">
        <v>37</v>
      </c>
      <c r="C30" t="str">
        <f>INDEX(Típusok4[],MATCH(Rendelések4[[#This Row],[Típus]],Típusok4[Típus],0),2)</f>
        <v>CT-110</v>
      </c>
      <c r="D30" s="14" t="str">
        <f>INDEX(Országok4[],MATCH(Rendelések4[[#This Row],[Célország]],Országok4[Célország],0),2)</f>
        <v>Malcolm Klein</v>
      </c>
      <c r="E30" s="14" t="s">
        <v>146</v>
      </c>
      <c r="F30" t="s">
        <v>3</v>
      </c>
      <c r="G30" s="12" t="str">
        <f>IF(Rendelések4[[#This Row],[Max. várakozási idő]]&lt;10,"!","")</f>
        <v/>
      </c>
      <c r="H30" s="9">
        <v>44605</v>
      </c>
      <c r="I30" s="10">
        <v>15</v>
      </c>
      <c r="J30" s="9">
        <f>Rendelések4[[#This Row],[Rendelés dátuma]]+minimum</f>
        <v>44610</v>
      </c>
      <c r="K30" s="9">
        <f>Rendelések4[[#This Row],[Rendelés dátuma]]+Rendelések4[[#This Row],[Max. várakozási idő]]</f>
        <v>44620</v>
      </c>
      <c r="L30" s="22">
        <v>8700</v>
      </c>
      <c r="M30" s="28">
        <v>17</v>
      </c>
      <c r="N30" s="22">
        <f>Rendelések4[[#This Row],[Egységár (euró)]]*Rendelések4[[#This Row],[Rendelt mennyiség]]</f>
        <v>147900</v>
      </c>
      <c r="O30" s="24">
        <f>Rendelések4[[#This Row],[Fizetendő (euró)]]*$R$2</f>
        <v>53244000</v>
      </c>
      <c r="P30" s="7" t="s">
        <v>1</v>
      </c>
    </row>
    <row r="31" spans="1:24" hidden="1" x14ac:dyDescent="0.25">
      <c r="A31" t="s">
        <v>66</v>
      </c>
      <c r="B31" s="2" t="s">
        <v>33</v>
      </c>
      <c r="C31" t="str">
        <f>INDEX(Típusok4[],MATCH(Rendelések4[[#This Row],[Típus]],Típusok4[Típus],0),2)</f>
        <v>CT-108</v>
      </c>
      <c r="D31" s="14" t="str">
        <f>INDEX(Országok4[],MATCH(Rendelések4[[#This Row],[Célország]],Országok4[Célország],0),2)</f>
        <v>Malcolm Klein</v>
      </c>
      <c r="E31" s="14" t="s">
        <v>146</v>
      </c>
      <c r="F31" t="s">
        <v>3</v>
      </c>
      <c r="G31" s="12" t="str">
        <f>IF(Rendelések4[[#This Row],[Max. várakozási idő]]&lt;10,"!","")</f>
        <v/>
      </c>
      <c r="H31" s="9">
        <v>44490</v>
      </c>
      <c r="I31" s="10">
        <v>21</v>
      </c>
      <c r="J31" s="9">
        <f>Rendelések4[[#This Row],[Rendelés dátuma]]+minimum</f>
        <v>44495</v>
      </c>
      <c r="K31" s="9">
        <f>Rendelések4[[#This Row],[Rendelés dátuma]]+Rendelések4[[#This Row],[Max. várakozási idő]]</f>
        <v>44511</v>
      </c>
      <c r="L31" s="22">
        <v>13200</v>
      </c>
      <c r="M31" s="28">
        <v>10</v>
      </c>
      <c r="N31" s="22">
        <f>Rendelések4[[#This Row],[Egységár (euró)]]*Rendelések4[[#This Row],[Rendelt mennyiség]]</f>
        <v>132000</v>
      </c>
      <c r="O31" s="24">
        <f>Rendelések4[[#This Row],[Fizetendő (euró)]]*$R$2</f>
        <v>47520000</v>
      </c>
      <c r="P31" s="7" t="s">
        <v>1</v>
      </c>
    </row>
    <row r="32" spans="1:24" hidden="1" x14ac:dyDescent="0.25">
      <c r="A32" t="s">
        <v>80</v>
      </c>
      <c r="B32" s="2" t="s">
        <v>42</v>
      </c>
      <c r="C32" t="str">
        <f>INDEX(Típusok4[],MATCH(Rendelések4[[#This Row],[Típus]],Típusok4[Típus],0),2)</f>
        <v>CT-113</v>
      </c>
      <c r="D32" s="14" t="str">
        <f>INDEX(Országok4[],MATCH(Rendelések4[[#This Row],[Célország]],Országok4[Célország],0),2)</f>
        <v>Malcolm Klein</v>
      </c>
      <c r="E32" s="14" t="s">
        <v>146</v>
      </c>
      <c r="F32" t="s">
        <v>22</v>
      </c>
      <c r="G32" s="12" t="str">
        <f>IF(Rendelések4[[#This Row],[Max. várakozási idő]]&lt;10,"!","")</f>
        <v/>
      </c>
      <c r="H32" s="9">
        <v>44358</v>
      </c>
      <c r="I32" s="10">
        <v>16</v>
      </c>
      <c r="J32" s="9">
        <f>Rendelések4[[#This Row],[Rendelés dátuma]]+minimum</f>
        <v>44363</v>
      </c>
      <c r="K32" s="9">
        <f>Rendelések4[[#This Row],[Rendelés dátuma]]+Rendelések4[[#This Row],[Max. várakozási idő]]</f>
        <v>44374</v>
      </c>
      <c r="L32" s="22">
        <v>9200</v>
      </c>
      <c r="M32" s="28">
        <v>16</v>
      </c>
      <c r="N32" s="22">
        <f>Rendelések4[[#This Row],[Egységár (euró)]]*Rendelések4[[#This Row],[Rendelt mennyiség]]</f>
        <v>147200</v>
      </c>
      <c r="O32" s="24">
        <f>Rendelések4[[#This Row],[Fizetendő (euró)]]*$R$2</f>
        <v>52992000</v>
      </c>
      <c r="P32" s="7" t="s">
        <v>1</v>
      </c>
    </row>
    <row r="33" spans="1:16" hidden="1" x14ac:dyDescent="0.25">
      <c r="A33" t="s">
        <v>69</v>
      </c>
      <c r="B33" s="2" t="s">
        <v>34</v>
      </c>
      <c r="C33" t="str">
        <f>INDEX(Típusok4[],MATCH(Rendelések4[[#This Row],[Típus]],Típusok4[Típus],0),2)</f>
        <v>CT-101</v>
      </c>
      <c r="D33" s="14" t="str">
        <f>INDEX(Országok4[],MATCH(Rendelések4[[#This Row],[Célország]],Országok4[Célország],0),2)</f>
        <v>Sarah Meyers</v>
      </c>
      <c r="E33" s="14" t="s">
        <v>143</v>
      </c>
      <c r="F33" t="s">
        <v>10</v>
      </c>
      <c r="G33" s="12" t="str">
        <f>IF(Rendelések4[[#This Row],[Max. várakozási idő]]&lt;10,"!","")</f>
        <v/>
      </c>
      <c r="H33" s="9">
        <v>44690</v>
      </c>
      <c r="I33" s="10">
        <v>25</v>
      </c>
      <c r="J33" s="9">
        <f>Rendelések4[[#This Row],[Rendelés dátuma]]+minimum</f>
        <v>44695</v>
      </c>
      <c r="K33" s="9">
        <f>Rendelések4[[#This Row],[Rendelés dátuma]]+Rendelések4[[#This Row],[Max. várakozási idő]]</f>
        <v>44715</v>
      </c>
      <c r="L33" s="22">
        <v>14700</v>
      </c>
      <c r="M33" s="28">
        <v>11</v>
      </c>
      <c r="N33" s="22">
        <f>Rendelések4[[#This Row],[Egységár (euró)]]*Rendelések4[[#This Row],[Rendelt mennyiség]]</f>
        <v>161700</v>
      </c>
      <c r="O33" s="24">
        <f>Rendelések4[[#This Row],[Fizetendő (euró)]]*$R$2</f>
        <v>58212000</v>
      </c>
      <c r="P33" s="7" t="s">
        <v>0</v>
      </c>
    </row>
    <row r="34" spans="1:16" hidden="1" x14ac:dyDescent="0.25">
      <c r="A34" t="s">
        <v>106</v>
      </c>
      <c r="B34" s="2" t="s">
        <v>43</v>
      </c>
      <c r="C34" t="str">
        <f>INDEX(Típusok4[],MATCH(Rendelések4[[#This Row],[Típus]],Típusok4[Típus],0),2)</f>
        <v>CT-103</v>
      </c>
      <c r="D34" s="14" t="str">
        <f>INDEX(Országok4[],MATCH(Rendelések4[[#This Row],[Célország]],Országok4[Célország],0),2)</f>
        <v>Sarah Meyers</v>
      </c>
      <c r="E34" s="14" t="s">
        <v>143</v>
      </c>
      <c r="F34" t="s">
        <v>10</v>
      </c>
      <c r="G34" s="12" t="str">
        <f>IF(Rendelések4[[#This Row],[Max. várakozási idő]]&lt;10,"!","")</f>
        <v/>
      </c>
      <c r="H34" s="9">
        <v>44274</v>
      </c>
      <c r="I34" s="10">
        <v>12</v>
      </c>
      <c r="J34" s="9">
        <f>Rendelések4[[#This Row],[Rendelés dátuma]]+minimum</f>
        <v>44279</v>
      </c>
      <c r="K34" s="9">
        <f>Rendelések4[[#This Row],[Rendelés dátuma]]+Rendelések4[[#This Row],[Max. várakozási idő]]</f>
        <v>44286</v>
      </c>
      <c r="L34" s="22">
        <v>8300</v>
      </c>
      <c r="M34" s="28">
        <v>11</v>
      </c>
      <c r="N34" s="22">
        <f>Rendelések4[[#This Row],[Egységár (euró)]]*Rendelések4[[#This Row],[Rendelt mennyiség]]</f>
        <v>91300</v>
      </c>
      <c r="O34" s="24">
        <f>Rendelések4[[#This Row],[Fizetendő (euró)]]*$R$2</f>
        <v>32868000</v>
      </c>
      <c r="P34" s="7" t="s">
        <v>0</v>
      </c>
    </row>
    <row r="35" spans="1:16" hidden="1" x14ac:dyDescent="0.25">
      <c r="A35" t="s">
        <v>72</v>
      </c>
      <c r="B35" s="2" t="s">
        <v>41</v>
      </c>
      <c r="C35" t="str">
        <f>INDEX(Típusok4[],MATCH(Rendelések4[[#This Row],[Típus]],Típusok4[Típus],0),2)</f>
        <v>CT-117</v>
      </c>
      <c r="D35" s="14" t="str">
        <f>INDEX(Országok4[],MATCH(Rendelések4[[#This Row],[Célország]],Országok4[Célország],0),2)</f>
        <v>Sarah Meyers</v>
      </c>
      <c r="E35" s="14" t="s">
        <v>143</v>
      </c>
      <c r="F35" t="s">
        <v>11</v>
      </c>
      <c r="G35" s="12" t="str">
        <f>IF(Rendelések4[[#This Row],[Max. várakozási idő]]&lt;10,"!","")</f>
        <v/>
      </c>
      <c r="H35" s="9">
        <v>44350</v>
      </c>
      <c r="I35" s="10">
        <v>11</v>
      </c>
      <c r="J35" s="9">
        <f>Rendelések4[[#This Row],[Rendelés dátuma]]+minimum</f>
        <v>44355</v>
      </c>
      <c r="K35" s="9">
        <f>Rendelések4[[#This Row],[Rendelés dátuma]]+Rendelések4[[#This Row],[Max. várakozási idő]]</f>
        <v>44361</v>
      </c>
      <c r="L35" s="22">
        <v>14300</v>
      </c>
      <c r="M35" s="28">
        <v>12</v>
      </c>
      <c r="N35" s="22">
        <f>Rendelések4[[#This Row],[Egységár (euró)]]*Rendelések4[[#This Row],[Rendelt mennyiség]]</f>
        <v>171600</v>
      </c>
      <c r="O35" s="24">
        <f>Rendelések4[[#This Row],[Fizetendő (euró)]]*$R$2</f>
        <v>61776000</v>
      </c>
      <c r="P35" s="7" t="s">
        <v>1</v>
      </c>
    </row>
    <row r="36" spans="1:16" hidden="1" x14ac:dyDescent="0.25">
      <c r="A36" t="s">
        <v>108</v>
      </c>
      <c r="B36" s="2" t="s">
        <v>39</v>
      </c>
      <c r="C36" t="str">
        <f>INDEX(Típusok4[],MATCH(Rendelések4[[#This Row],[Típus]],Típusok4[Típus],0),2)</f>
        <v>CT-116</v>
      </c>
      <c r="D36" s="14" t="str">
        <f>INDEX(Országok4[],MATCH(Rendelések4[[#This Row],[Célország]],Országok4[Célország],0),2)</f>
        <v>Sarah Meyers</v>
      </c>
      <c r="E36" s="14" t="s">
        <v>143</v>
      </c>
      <c r="F36" t="s">
        <v>11</v>
      </c>
      <c r="G36" s="12" t="str">
        <f>IF(Rendelések4[[#This Row],[Max. várakozási idő]]&lt;10,"!","")</f>
        <v>!</v>
      </c>
      <c r="H36" s="9">
        <v>44067</v>
      </c>
      <c r="I36" s="10">
        <v>9</v>
      </c>
      <c r="J36" s="9">
        <f>Rendelések4[[#This Row],[Rendelés dátuma]]+minimum</f>
        <v>44072</v>
      </c>
      <c r="K36" s="9">
        <f>Rendelések4[[#This Row],[Rendelés dátuma]]+Rendelések4[[#This Row],[Max. várakozási idő]]</f>
        <v>44076</v>
      </c>
      <c r="L36" s="22">
        <v>11500</v>
      </c>
      <c r="M36" s="28">
        <v>12</v>
      </c>
      <c r="N36" s="22">
        <f>Rendelések4[[#This Row],[Egységár (euró)]]*Rendelések4[[#This Row],[Rendelt mennyiség]]</f>
        <v>138000</v>
      </c>
      <c r="O36" s="24">
        <f>Rendelések4[[#This Row],[Fizetendő (euró)]]*$R$2</f>
        <v>49680000</v>
      </c>
      <c r="P36" s="7" t="s">
        <v>0</v>
      </c>
    </row>
    <row r="37" spans="1:16" hidden="1" x14ac:dyDescent="0.25">
      <c r="A37" t="s">
        <v>61</v>
      </c>
      <c r="B37" s="2" t="s">
        <v>37</v>
      </c>
      <c r="C37" t="str">
        <f>INDEX(Típusok4[],MATCH(Rendelések4[[#This Row],[Típus]],Típusok4[Típus],0),2)</f>
        <v>CT-110</v>
      </c>
      <c r="D37" s="14" t="str">
        <f>INDEX(Országok4[],MATCH(Rendelések4[[#This Row],[Célország]],Országok4[Célország],0),2)</f>
        <v>Sarah Meyers</v>
      </c>
      <c r="E37" s="14" t="s">
        <v>143</v>
      </c>
      <c r="F37" t="s">
        <v>17</v>
      </c>
      <c r="G37" s="12" t="str">
        <f>IF(Rendelések4[[#This Row],[Max. várakozási idő]]&lt;10,"!","")</f>
        <v/>
      </c>
      <c r="H37" s="9">
        <v>44604</v>
      </c>
      <c r="I37" s="10">
        <v>20</v>
      </c>
      <c r="J37" s="9">
        <f>Rendelések4[[#This Row],[Rendelés dátuma]]+minimum</f>
        <v>44609</v>
      </c>
      <c r="K37" s="9">
        <f>Rendelések4[[#This Row],[Rendelés dátuma]]+Rendelések4[[#This Row],[Max. várakozási idő]]</f>
        <v>44624</v>
      </c>
      <c r="L37" s="22">
        <v>11900</v>
      </c>
      <c r="M37" s="28">
        <v>16</v>
      </c>
      <c r="N37" s="22">
        <f>Rendelések4[[#This Row],[Egységár (euró)]]*Rendelések4[[#This Row],[Rendelt mennyiség]]</f>
        <v>190400</v>
      </c>
      <c r="O37" s="24">
        <f>Rendelések4[[#This Row],[Fizetendő (euró)]]*$R$2</f>
        <v>68544000</v>
      </c>
      <c r="P37" s="7" t="s">
        <v>1</v>
      </c>
    </row>
    <row r="38" spans="1:16" x14ac:dyDescent="0.25">
      <c r="A38" t="s">
        <v>89</v>
      </c>
      <c r="B38" s="2" t="s">
        <v>42</v>
      </c>
      <c r="C38" t="str">
        <f>INDEX(Típusok4[],MATCH(Rendelések4[[#This Row],[Típus]],Típusok4[Típus],0),2)</f>
        <v>CT-113</v>
      </c>
      <c r="D38" s="14" t="str">
        <f>INDEX(Országok4[],MATCH(Rendelések4[[#This Row],[Célország]],Országok4[Célország],0),2)</f>
        <v>Sarah Meyers</v>
      </c>
      <c r="E38" s="14" t="s">
        <v>143</v>
      </c>
      <c r="F38" t="s">
        <v>17</v>
      </c>
      <c r="G38" s="12" t="str">
        <f>IF(Rendelések4[[#This Row],[Max. várakozási idő]]&lt;10,"!","")</f>
        <v/>
      </c>
      <c r="H38" s="9">
        <v>44536</v>
      </c>
      <c r="I38" s="10">
        <v>30</v>
      </c>
      <c r="J38" s="9">
        <f>Rendelések4[[#This Row],[Rendelés dátuma]]+minimum</f>
        <v>44541</v>
      </c>
      <c r="K38" s="9">
        <f>Rendelések4[[#This Row],[Rendelés dátuma]]+Rendelések4[[#This Row],[Max. várakozási idő]]</f>
        <v>44566</v>
      </c>
      <c r="L38" s="22">
        <v>13100</v>
      </c>
      <c r="M38" s="28">
        <v>11</v>
      </c>
      <c r="N38" s="22">
        <f>Rendelések4[[#This Row],[Egységár (euró)]]*Rendelések4[[#This Row],[Rendelt mennyiség]]</f>
        <v>144100</v>
      </c>
      <c r="O38" s="24">
        <f>Rendelések4[[#This Row],[Fizetendő (euró)]]*$R$2</f>
        <v>51876000</v>
      </c>
      <c r="P38" s="7" t="s">
        <v>0</v>
      </c>
    </row>
    <row r="39" spans="1:16" hidden="1" x14ac:dyDescent="0.25">
      <c r="A39" t="s">
        <v>95</v>
      </c>
      <c r="B39" s="2" t="s">
        <v>44</v>
      </c>
      <c r="C39" t="str">
        <f>INDEX(Típusok4[],MATCH(Rendelések4[[#This Row],[Típus]],Típusok4[Típus],0),2)</f>
        <v>CT-106</v>
      </c>
      <c r="D39" s="14" t="str">
        <f>INDEX(Országok4[],MATCH(Rendelések4[[#This Row],[Célország]],Országok4[Célország],0),2)</f>
        <v>Sarah Meyers</v>
      </c>
      <c r="E39" s="14" t="s">
        <v>143</v>
      </c>
      <c r="F39" t="s">
        <v>17</v>
      </c>
      <c r="G39" s="12" t="str">
        <f>IF(Rendelések4[[#This Row],[Max. várakozási idő]]&lt;10,"!","")</f>
        <v/>
      </c>
      <c r="H39" s="9">
        <v>44720</v>
      </c>
      <c r="I39" s="10">
        <v>28</v>
      </c>
      <c r="J39" s="9">
        <f>Rendelések4[[#This Row],[Rendelés dátuma]]+minimum</f>
        <v>44725</v>
      </c>
      <c r="K39" s="9">
        <f>Rendelések4[[#This Row],[Rendelés dátuma]]+Rendelések4[[#This Row],[Max. várakozási idő]]</f>
        <v>44748</v>
      </c>
      <c r="L39" s="22">
        <v>9500</v>
      </c>
      <c r="M39" s="28">
        <v>11</v>
      </c>
      <c r="N39" s="22">
        <f>Rendelések4[[#This Row],[Egységár (euró)]]*Rendelések4[[#This Row],[Rendelt mennyiség]]</f>
        <v>104500</v>
      </c>
      <c r="O39" s="24">
        <f>Rendelések4[[#This Row],[Fizetendő (euró)]]*$R$2</f>
        <v>37620000</v>
      </c>
      <c r="P39" s="7" t="s">
        <v>0</v>
      </c>
    </row>
    <row r="40" spans="1:16" x14ac:dyDescent="0.25">
      <c r="A40" t="s">
        <v>75</v>
      </c>
      <c r="B40" s="2" t="s">
        <v>32</v>
      </c>
      <c r="C40" t="str">
        <f>INDEX(Típusok4[],MATCH(Rendelések4[[#This Row],[Típus]],Típusok4[Típus],0),2)</f>
        <v>CT-111</v>
      </c>
      <c r="D40" s="14" t="str">
        <f>INDEX(Országok4[],MATCH(Rendelések4[[#This Row],[Célország]],Országok4[Célország],0),2)</f>
        <v>Sarah Meyers</v>
      </c>
      <c r="E40" s="14" t="s">
        <v>143</v>
      </c>
      <c r="F40" t="s">
        <v>18</v>
      </c>
      <c r="G40" s="12" t="str">
        <f>IF(Rendelések4[[#This Row],[Max. várakozási idő]]&lt;10,"!","")</f>
        <v/>
      </c>
      <c r="H40" s="9">
        <v>44218</v>
      </c>
      <c r="I40" s="10">
        <v>12</v>
      </c>
      <c r="J40" s="9">
        <f>Rendelések4[[#This Row],[Rendelés dátuma]]+minimum</f>
        <v>44223</v>
      </c>
      <c r="K40" s="9">
        <f>Rendelések4[[#This Row],[Rendelés dátuma]]+Rendelések4[[#This Row],[Max. várakozási idő]]</f>
        <v>44230</v>
      </c>
      <c r="L40" s="22">
        <v>14100</v>
      </c>
      <c r="M40" s="28">
        <v>15</v>
      </c>
      <c r="N40" s="22">
        <f>Rendelések4[[#This Row],[Egységár (euró)]]*Rendelések4[[#This Row],[Rendelt mennyiség]]</f>
        <v>211500</v>
      </c>
      <c r="O40" s="24">
        <f>Rendelések4[[#This Row],[Fizetendő (euró)]]*$R$2</f>
        <v>76140000</v>
      </c>
      <c r="P40" s="7" t="s">
        <v>0</v>
      </c>
    </row>
    <row r="41" spans="1:16" hidden="1" x14ac:dyDescent="0.25">
      <c r="A41" t="s">
        <v>101</v>
      </c>
      <c r="B41" s="2" t="s">
        <v>34</v>
      </c>
      <c r="C41" t="str">
        <f>INDEX(Típusok4[],MATCH(Rendelések4[[#This Row],[Típus]],Típusok4[Típus],0),2)</f>
        <v>CT-101</v>
      </c>
      <c r="D41" s="14" t="str">
        <f>INDEX(Országok4[],MATCH(Rendelések4[[#This Row],[Célország]],Országok4[Célország],0),2)</f>
        <v>Sarah Meyers</v>
      </c>
      <c r="E41" s="14" t="s">
        <v>143</v>
      </c>
      <c r="F41" t="s">
        <v>18</v>
      </c>
      <c r="G41" s="12" t="str">
        <f>IF(Rendelések4[[#This Row],[Max. várakozási idő]]&lt;10,"!","")</f>
        <v/>
      </c>
      <c r="H41" s="9">
        <v>44694</v>
      </c>
      <c r="I41" s="10">
        <v>20</v>
      </c>
      <c r="J41" s="9">
        <f>Rendelések4[[#This Row],[Rendelés dátuma]]+minimum</f>
        <v>44699</v>
      </c>
      <c r="K41" s="9">
        <f>Rendelések4[[#This Row],[Rendelés dátuma]]+Rendelések4[[#This Row],[Max. várakozási idő]]</f>
        <v>44714</v>
      </c>
      <c r="L41" s="22">
        <v>9500</v>
      </c>
      <c r="M41" s="28">
        <v>17</v>
      </c>
      <c r="N41" s="22">
        <f>Rendelések4[[#This Row],[Egységár (euró)]]*Rendelések4[[#This Row],[Rendelt mennyiség]]</f>
        <v>161500</v>
      </c>
      <c r="O41" s="24">
        <f>Rendelések4[[#This Row],[Fizetendő (euró)]]*$R$2</f>
        <v>58140000</v>
      </c>
      <c r="P41" s="7" t="s">
        <v>1</v>
      </c>
    </row>
    <row r="42" spans="1:16" hidden="1" x14ac:dyDescent="0.25">
      <c r="A42" t="s">
        <v>82</v>
      </c>
      <c r="B42" s="2" t="s">
        <v>41</v>
      </c>
      <c r="C42" t="str">
        <f>INDEX(Típusok4[],MATCH(Rendelések4[[#This Row],[Típus]],Típusok4[Típus],0),2)</f>
        <v>CT-117</v>
      </c>
      <c r="D42" s="14" t="str">
        <f>INDEX(Országok4[],MATCH(Rendelések4[[#This Row],[Célország]],Országok4[Célország],0),2)</f>
        <v>Sarah Meyers</v>
      </c>
      <c r="E42" s="14" t="s">
        <v>143</v>
      </c>
      <c r="F42" t="s">
        <v>18</v>
      </c>
      <c r="G42" s="12" t="str">
        <f>IF(Rendelések4[[#This Row],[Max. várakozási idő]]&lt;10,"!","")</f>
        <v/>
      </c>
      <c r="H42" s="9">
        <v>44074</v>
      </c>
      <c r="I42" s="10">
        <v>13</v>
      </c>
      <c r="J42" s="9">
        <f>Rendelések4[[#This Row],[Rendelés dátuma]]+minimum</f>
        <v>44079</v>
      </c>
      <c r="K42" s="9">
        <f>Rendelések4[[#This Row],[Rendelés dátuma]]+Rendelések4[[#This Row],[Max. várakozási idő]]</f>
        <v>44087</v>
      </c>
      <c r="L42" s="22">
        <v>9000</v>
      </c>
      <c r="M42" s="28">
        <v>12</v>
      </c>
      <c r="N42" s="22">
        <f>Rendelések4[[#This Row],[Egységár (euró)]]*Rendelések4[[#This Row],[Rendelt mennyiség]]</f>
        <v>108000</v>
      </c>
      <c r="O42" s="24">
        <f>Rendelések4[[#This Row],[Fizetendő (euró)]]*$R$2</f>
        <v>38880000</v>
      </c>
      <c r="P42" s="7" t="s">
        <v>1</v>
      </c>
    </row>
    <row r="43" spans="1:16" hidden="1" x14ac:dyDescent="0.25">
      <c r="A43" t="s">
        <v>76</v>
      </c>
      <c r="B43" s="2" t="s">
        <v>38</v>
      </c>
      <c r="C43" t="str">
        <f>INDEX(Típusok4[],MATCH(Rendelések4[[#This Row],[Típus]],Típusok4[Típus],0),2)</f>
        <v>CT-104</v>
      </c>
      <c r="D43" s="14" t="str">
        <f>INDEX(Országok4[],MATCH(Rendelések4[[#This Row],[Célország]],Országok4[Célország],0),2)</f>
        <v>Sierra Richardson</v>
      </c>
      <c r="E43" s="14" t="s">
        <v>148</v>
      </c>
      <c r="F43" t="s">
        <v>12</v>
      </c>
      <c r="G43" s="12" t="str">
        <f>IF(Rendelések4[[#This Row],[Max. várakozási idő]]&lt;10,"!","")</f>
        <v/>
      </c>
      <c r="H43" s="9">
        <v>44565</v>
      </c>
      <c r="I43" s="10">
        <v>16</v>
      </c>
      <c r="J43" s="9">
        <f>Rendelések4[[#This Row],[Rendelés dátuma]]+minimum</f>
        <v>44570</v>
      </c>
      <c r="K43" s="9">
        <f>Rendelések4[[#This Row],[Rendelés dátuma]]+Rendelések4[[#This Row],[Max. várakozási idő]]</f>
        <v>44581</v>
      </c>
      <c r="L43" s="22">
        <v>13700</v>
      </c>
      <c r="M43" s="28">
        <v>20</v>
      </c>
      <c r="N43" s="22">
        <f>Rendelések4[[#This Row],[Egységár (euró)]]*Rendelések4[[#This Row],[Rendelt mennyiség]]</f>
        <v>274000</v>
      </c>
      <c r="O43" s="24">
        <f>Rendelések4[[#This Row],[Fizetendő (euró)]]*$R$2</f>
        <v>98640000</v>
      </c>
      <c r="P43" s="7" t="s">
        <v>0</v>
      </c>
    </row>
    <row r="44" spans="1:16" x14ac:dyDescent="0.25">
      <c r="A44" t="s">
        <v>94</v>
      </c>
      <c r="B44" s="2" t="s">
        <v>35</v>
      </c>
      <c r="C44" t="str">
        <f>INDEX(Típusok4[],MATCH(Rendelések4[[#This Row],[Típus]],Típusok4[Típus],0),2)</f>
        <v>CT-102</v>
      </c>
      <c r="D44" s="14" t="str">
        <f>INDEX(Országok4[],MATCH(Rendelések4[[#This Row],[Célország]],Országok4[Célország],0),2)</f>
        <v>Sierra Richardson</v>
      </c>
      <c r="E44" s="14" t="s">
        <v>148</v>
      </c>
      <c r="F44" t="s">
        <v>12</v>
      </c>
      <c r="G44" s="12" t="str">
        <f>IF(Rendelések4[[#This Row],[Max. várakozási idő]]&lt;10,"!","")</f>
        <v/>
      </c>
      <c r="H44" s="9">
        <v>44459</v>
      </c>
      <c r="I44" s="10">
        <v>29</v>
      </c>
      <c r="J44" s="9">
        <f>Rendelések4[[#This Row],[Rendelés dátuma]]+minimum</f>
        <v>44464</v>
      </c>
      <c r="K44" s="9">
        <f>Rendelések4[[#This Row],[Rendelés dátuma]]+Rendelések4[[#This Row],[Max. várakozási idő]]</f>
        <v>44488</v>
      </c>
      <c r="L44" s="22">
        <v>10400</v>
      </c>
      <c r="M44" s="28">
        <v>17</v>
      </c>
      <c r="N44" s="22">
        <f>Rendelések4[[#This Row],[Egységár (euró)]]*Rendelések4[[#This Row],[Rendelt mennyiség]]</f>
        <v>176800</v>
      </c>
      <c r="O44" s="24">
        <f>Rendelések4[[#This Row],[Fizetendő (euró)]]*$R$2</f>
        <v>63648000</v>
      </c>
      <c r="P44" s="7" t="s">
        <v>0</v>
      </c>
    </row>
    <row r="45" spans="1:16" x14ac:dyDescent="0.25">
      <c r="A45" t="s">
        <v>74</v>
      </c>
      <c r="B45" s="2" t="s">
        <v>38</v>
      </c>
      <c r="C45" t="str">
        <f>INDEX(Típusok4[],MATCH(Rendelések4[[#This Row],[Típus]],Típusok4[Típus],0),2)</f>
        <v>CT-104</v>
      </c>
      <c r="D45" s="14" t="str">
        <f>INDEX(Országok4[],MATCH(Rendelések4[[#This Row],[Célország]],Országok4[Célország],0),2)</f>
        <v>Sierra Richardson</v>
      </c>
      <c r="E45" s="14" t="s">
        <v>148</v>
      </c>
      <c r="F45" t="s">
        <v>13</v>
      </c>
      <c r="G45" s="12" t="str">
        <f>IF(Rendelések4[[#This Row],[Max. várakozási idő]]&lt;10,"!","")</f>
        <v/>
      </c>
      <c r="H45" s="9">
        <v>44314</v>
      </c>
      <c r="I45" s="10">
        <v>10</v>
      </c>
      <c r="J45" s="9">
        <f>Rendelések4[[#This Row],[Rendelés dátuma]]+minimum</f>
        <v>44319</v>
      </c>
      <c r="K45" s="9">
        <f>Rendelések4[[#This Row],[Rendelés dátuma]]+Rendelések4[[#This Row],[Max. várakozási idő]]</f>
        <v>44324</v>
      </c>
      <c r="L45" s="22">
        <v>11800</v>
      </c>
      <c r="M45" s="28">
        <v>12</v>
      </c>
      <c r="N45" s="22">
        <f>Rendelések4[[#This Row],[Egységár (euró)]]*Rendelések4[[#This Row],[Rendelt mennyiség]]</f>
        <v>141600</v>
      </c>
      <c r="O45" s="24">
        <f>Rendelések4[[#This Row],[Fizetendő (euró)]]*$R$2</f>
        <v>50976000</v>
      </c>
      <c r="P45" s="7" t="s">
        <v>0</v>
      </c>
    </row>
    <row r="46" spans="1:16" x14ac:dyDescent="0.25">
      <c r="A46" t="s">
        <v>99</v>
      </c>
      <c r="B46" s="2" t="s">
        <v>33</v>
      </c>
      <c r="C46" t="str">
        <f>INDEX(Típusok4[],MATCH(Rendelések4[[#This Row],[Típus]],Típusok4[Típus],0),2)</f>
        <v>CT-108</v>
      </c>
      <c r="D46" s="14" t="str">
        <f>INDEX(Országok4[],MATCH(Rendelések4[[#This Row],[Célország]],Országok4[Célország],0),2)</f>
        <v>Sierra Richardson</v>
      </c>
      <c r="E46" s="14" t="s">
        <v>148</v>
      </c>
      <c r="F46" t="s">
        <v>21</v>
      </c>
      <c r="G46" s="12" t="str">
        <f>IF(Rendelések4[[#This Row],[Max. várakozási idő]]&lt;10,"!","")</f>
        <v/>
      </c>
      <c r="H46" s="9">
        <v>44380</v>
      </c>
      <c r="I46" s="10">
        <v>17</v>
      </c>
      <c r="J46" s="9">
        <f>Rendelések4[[#This Row],[Rendelés dátuma]]+minimum</f>
        <v>44385</v>
      </c>
      <c r="K46" s="9">
        <f>Rendelések4[[#This Row],[Rendelés dátuma]]+Rendelések4[[#This Row],[Max. várakozási idő]]</f>
        <v>44397</v>
      </c>
      <c r="L46" s="22">
        <v>13600</v>
      </c>
      <c r="M46" s="28">
        <v>16</v>
      </c>
      <c r="N46" s="22">
        <f>Rendelések4[[#This Row],[Egységár (euró)]]*Rendelések4[[#This Row],[Rendelt mennyiség]]</f>
        <v>217600</v>
      </c>
      <c r="O46" s="24">
        <f>Rendelések4[[#This Row],[Fizetendő (euró)]]*$R$2</f>
        <v>78336000</v>
      </c>
      <c r="P46" s="7" t="s">
        <v>0</v>
      </c>
    </row>
    <row r="47" spans="1:16" hidden="1" x14ac:dyDescent="0.25">
      <c r="A47" t="s">
        <v>73</v>
      </c>
      <c r="B47" s="2" t="s">
        <v>45</v>
      </c>
      <c r="C47" t="str">
        <f>INDEX(Típusok4[],MATCH(Rendelések4[[#This Row],[Típus]],Típusok4[Típus],0),2)</f>
        <v>CT-109</v>
      </c>
      <c r="D47" s="14" t="str">
        <f>INDEX(Országok4[],MATCH(Rendelések4[[#This Row],[Célország]],Országok4[Célország],0),2)</f>
        <v>Sierra Richardson</v>
      </c>
      <c r="E47" s="14" t="s">
        <v>148</v>
      </c>
      <c r="F47" t="s">
        <v>23</v>
      </c>
      <c r="G47" s="12" t="str">
        <f>IF(Rendelések4[[#This Row],[Max. várakozási idő]]&lt;10,"!","")</f>
        <v/>
      </c>
      <c r="H47" s="9">
        <v>44262</v>
      </c>
      <c r="I47" s="10">
        <v>12</v>
      </c>
      <c r="J47" s="9">
        <f>Rendelések4[[#This Row],[Rendelés dátuma]]+minimum</f>
        <v>44267</v>
      </c>
      <c r="K47" s="9">
        <f>Rendelések4[[#This Row],[Rendelés dátuma]]+Rendelések4[[#This Row],[Max. várakozási idő]]</f>
        <v>44274</v>
      </c>
      <c r="L47" s="22">
        <v>8700</v>
      </c>
      <c r="M47" s="28">
        <v>15</v>
      </c>
      <c r="N47" s="22">
        <f>Rendelések4[[#This Row],[Egységár (euró)]]*Rendelések4[[#This Row],[Rendelt mennyiség]]</f>
        <v>130500</v>
      </c>
      <c r="O47" s="24">
        <f>Rendelések4[[#This Row],[Fizetendő (euró)]]*$R$2</f>
        <v>46980000</v>
      </c>
      <c r="P47" s="7" t="s">
        <v>1</v>
      </c>
    </row>
    <row r="48" spans="1:16" hidden="1" x14ac:dyDescent="0.25">
      <c r="A48" t="s">
        <v>77</v>
      </c>
      <c r="B48" s="2" t="s">
        <v>44</v>
      </c>
      <c r="C48" t="str">
        <f>INDEX(Típusok4[],MATCH(Rendelések4[[#This Row],[Típus]],Típusok4[Típus],0),2)</f>
        <v>CT-106</v>
      </c>
      <c r="D48" s="14" t="str">
        <f>INDEX(Országok4[],MATCH(Rendelések4[[#This Row],[Célország]],Országok4[Célország],0),2)</f>
        <v>Colton Suarez</v>
      </c>
      <c r="E48" s="14" t="s">
        <v>144</v>
      </c>
      <c r="F48" t="s">
        <v>24</v>
      </c>
      <c r="G48" s="12" t="str">
        <f>IF(Rendelések4[[#This Row],[Max. várakozási idő]]&lt;10,"!","")</f>
        <v/>
      </c>
      <c r="H48" s="9">
        <v>44580</v>
      </c>
      <c r="I48" s="10">
        <v>10</v>
      </c>
      <c r="J48" s="9">
        <f>Rendelések4[[#This Row],[Rendelés dátuma]]+minimum</f>
        <v>44585</v>
      </c>
      <c r="K48" s="9">
        <f>Rendelések4[[#This Row],[Rendelés dátuma]]+Rendelések4[[#This Row],[Max. várakozási idő]]</f>
        <v>44590</v>
      </c>
      <c r="L48" s="22">
        <v>13700</v>
      </c>
      <c r="M48" s="28">
        <v>20</v>
      </c>
      <c r="N48" s="22">
        <f>Rendelések4[[#This Row],[Egységár (euró)]]*Rendelések4[[#This Row],[Rendelt mennyiség]]</f>
        <v>274000</v>
      </c>
      <c r="O48" s="24">
        <f>Rendelések4[[#This Row],[Fizetendő (euró)]]*$R$2</f>
        <v>98640000</v>
      </c>
      <c r="P48" s="7" t="s">
        <v>1</v>
      </c>
    </row>
    <row r="49" spans="1:16" hidden="1" x14ac:dyDescent="0.25">
      <c r="A49" t="s">
        <v>91</v>
      </c>
      <c r="B49" s="2" t="s">
        <v>41</v>
      </c>
      <c r="C49" t="str">
        <f>INDEX(Típusok4[],MATCH(Rendelések4[[#This Row],[Típus]],Típusok4[Típus],0),2)</f>
        <v>CT-117</v>
      </c>
      <c r="D49" s="14" t="str">
        <f>INDEX(Országok4[],MATCH(Rendelések4[[#This Row],[Célország]],Országok4[Célország],0),2)</f>
        <v>Colton Suarez</v>
      </c>
      <c r="E49" s="14" t="s">
        <v>144</v>
      </c>
      <c r="F49" t="s">
        <v>24</v>
      </c>
      <c r="G49" s="12" t="str">
        <f>IF(Rendelések4[[#This Row],[Max. várakozási idő]]&lt;10,"!","")</f>
        <v/>
      </c>
      <c r="H49" s="9">
        <v>44691</v>
      </c>
      <c r="I49" s="10">
        <v>12</v>
      </c>
      <c r="J49" s="9">
        <f>Rendelések4[[#This Row],[Rendelés dátuma]]+minimum</f>
        <v>44696</v>
      </c>
      <c r="K49" s="9">
        <f>Rendelések4[[#This Row],[Rendelés dátuma]]+Rendelések4[[#This Row],[Max. várakozási idő]]</f>
        <v>44703</v>
      </c>
      <c r="L49" s="22">
        <v>10000</v>
      </c>
      <c r="M49" s="28">
        <v>16</v>
      </c>
      <c r="N49" s="22">
        <f>Rendelések4[[#This Row],[Egységár (euró)]]*Rendelések4[[#This Row],[Rendelt mennyiség]]</f>
        <v>160000</v>
      </c>
      <c r="O49" s="24">
        <f>Rendelések4[[#This Row],[Fizetendő (euró)]]*$R$2</f>
        <v>57600000</v>
      </c>
      <c r="P49" s="7" t="s">
        <v>0</v>
      </c>
    </row>
    <row r="50" spans="1:16" hidden="1" x14ac:dyDescent="0.25">
      <c r="A50" t="s">
        <v>102</v>
      </c>
      <c r="B50" s="2" t="s">
        <v>38</v>
      </c>
      <c r="C50" t="str">
        <f>INDEX(Típusok4[],MATCH(Rendelések4[[#This Row],[Típus]],Típusok4[Típus],0),2)</f>
        <v>CT-104</v>
      </c>
      <c r="D50" s="14" t="str">
        <f>INDEX(Országok4[],MATCH(Rendelések4[[#This Row],[Célország]],Országok4[Célország],0),2)</f>
        <v>Colton Suarez</v>
      </c>
      <c r="E50" s="14" t="s">
        <v>144</v>
      </c>
      <c r="F50" t="s">
        <v>26</v>
      </c>
      <c r="G50" s="12" t="str">
        <f>IF(Rendelések4[[#This Row],[Max. várakozási idő]]&lt;10,"!","")</f>
        <v/>
      </c>
      <c r="H50" s="9">
        <v>44135</v>
      </c>
      <c r="I50" s="10">
        <v>17</v>
      </c>
      <c r="J50" s="9">
        <f>Rendelések4[[#This Row],[Rendelés dátuma]]+minimum</f>
        <v>44140</v>
      </c>
      <c r="K50" s="9">
        <f>Rendelések4[[#This Row],[Rendelés dátuma]]+Rendelések4[[#This Row],[Max. várakozási idő]]</f>
        <v>44152</v>
      </c>
      <c r="L50" s="22">
        <v>10600</v>
      </c>
      <c r="M50" s="28">
        <v>10</v>
      </c>
      <c r="N50" s="22">
        <f>Rendelések4[[#This Row],[Egységár (euró)]]*Rendelések4[[#This Row],[Rendelt mennyiség]]</f>
        <v>106000</v>
      </c>
      <c r="O50" s="24">
        <f>Rendelések4[[#This Row],[Fizetendő (euró)]]*$R$2</f>
        <v>38160000</v>
      </c>
      <c r="P50" s="7" t="s">
        <v>0</v>
      </c>
    </row>
    <row r="51" spans="1:16" hidden="1" x14ac:dyDescent="0.25">
      <c r="A51" t="s">
        <v>64</v>
      </c>
      <c r="B51" s="2" t="s">
        <v>38</v>
      </c>
      <c r="C51" t="str">
        <f>INDEX(Típusok4[],MATCH(Rendelések4[[#This Row],[Típus]],Típusok4[Típus],0),2)</f>
        <v>CT-104</v>
      </c>
      <c r="D51" s="14" t="str">
        <f>INDEX(Országok4[],MATCH(Rendelések4[[#This Row],[Célország]],Országok4[Célország],0),2)</f>
        <v>Colton Suarez</v>
      </c>
      <c r="E51" s="14" t="s">
        <v>144</v>
      </c>
      <c r="F51" t="s">
        <v>26</v>
      </c>
      <c r="G51" s="12" t="str">
        <f>IF(Rendelések4[[#This Row],[Max. várakozási idő]]&lt;10,"!","")</f>
        <v/>
      </c>
      <c r="H51" s="9">
        <v>44106</v>
      </c>
      <c r="I51" s="10">
        <v>21</v>
      </c>
      <c r="J51" s="9">
        <f>Rendelések4[[#This Row],[Rendelés dátuma]]+minimum</f>
        <v>44111</v>
      </c>
      <c r="K51" s="9">
        <f>Rendelések4[[#This Row],[Rendelés dátuma]]+Rendelések4[[#This Row],[Max. várakozási idő]]</f>
        <v>44127</v>
      </c>
      <c r="L51" s="23">
        <v>9400</v>
      </c>
      <c r="M51" s="28">
        <v>10</v>
      </c>
      <c r="N51" s="22">
        <f>Rendelések4[[#This Row],[Egységár (euró)]]*Rendelések4[[#This Row],[Rendelt mennyiség]]</f>
        <v>94000</v>
      </c>
      <c r="O51" s="24">
        <f>Rendelések4[[#This Row],[Fizetendő (euró)]]*$R$2</f>
        <v>33840000</v>
      </c>
      <c r="P51" s="8" t="s">
        <v>1</v>
      </c>
    </row>
    <row r="52" spans="1:16" x14ac:dyDescent="0.25">
      <c r="L52" s="1"/>
      <c r="M52" s="4"/>
      <c r="N52" s="4"/>
      <c r="O52" s="4"/>
    </row>
    <row r="53" spans="1:16" x14ac:dyDescent="0.25">
      <c r="L53" s="1"/>
      <c r="M53" s="4"/>
      <c r="N53" s="4"/>
      <c r="O53" s="4"/>
    </row>
    <row r="54" spans="1:16" x14ac:dyDescent="0.25">
      <c r="L54" s="1"/>
      <c r="M54" s="4"/>
      <c r="N54" s="4"/>
      <c r="O54" s="4"/>
    </row>
    <row r="55" spans="1:16" x14ac:dyDescent="0.25">
      <c r="L55" s="1"/>
      <c r="M55" s="4"/>
      <c r="N55" s="4"/>
      <c r="O55" s="4"/>
    </row>
    <row r="56" spans="1:16" x14ac:dyDescent="0.25">
      <c r="L56" s="1"/>
      <c r="M56" s="4"/>
      <c r="N56" s="4"/>
      <c r="O56" s="4"/>
    </row>
    <row r="57" spans="1:16" x14ac:dyDescent="0.25">
      <c r="L57" s="1"/>
      <c r="M57" s="4"/>
      <c r="N57" s="4"/>
      <c r="O57" s="4"/>
    </row>
    <row r="58" spans="1:16" x14ac:dyDescent="0.25">
      <c r="L58" s="1"/>
      <c r="M58" s="4"/>
      <c r="N58" s="4"/>
      <c r="O58" s="4"/>
    </row>
    <row r="59" spans="1:16" x14ac:dyDescent="0.25">
      <c r="L59" s="1"/>
      <c r="M59" s="4"/>
      <c r="N59" s="4"/>
      <c r="O59" s="4"/>
    </row>
    <row r="60" spans="1:16" x14ac:dyDescent="0.25">
      <c r="L60" s="1"/>
      <c r="M60" s="4"/>
      <c r="N60" s="4"/>
      <c r="O60" s="4"/>
    </row>
    <row r="61" spans="1:16" x14ac:dyDescent="0.25">
      <c r="L61" s="1"/>
      <c r="M61" s="4"/>
      <c r="N61" s="4"/>
      <c r="O61" s="4"/>
    </row>
    <row r="62" spans="1:16" x14ac:dyDescent="0.25">
      <c r="L62" s="1"/>
      <c r="M62" s="4"/>
      <c r="N62" s="4"/>
      <c r="O62" s="4"/>
    </row>
    <row r="63" spans="1:16" x14ac:dyDescent="0.25">
      <c r="L63" s="1"/>
      <c r="M63" s="4"/>
      <c r="N63" s="4"/>
      <c r="O63" s="4"/>
    </row>
    <row r="64" spans="1:16" x14ac:dyDescent="0.25">
      <c r="L64" s="1"/>
      <c r="M64" s="4"/>
      <c r="N64" s="4"/>
      <c r="O64" s="4"/>
    </row>
    <row r="65" spans="12:15" x14ac:dyDescent="0.25">
      <c r="L65" s="1"/>
      <c r="M65" s="4"/>
      <c r="N65" s="4"/>
      <c r="O65" s="4"/>
    </row>
    <row r="66" spans="12:15" x14ac:dyDescent="0.25">
      <c r="L66" s="1"/>
      <c r="M66" s="4"/>
      <c r="N66" s="4"/>
      <c r="O66" s="4"/>
    </row>
    <row r="67" spans="12:15" x14ac:dyDescent="0.25">
      <c r="L67" s="1"/>
      <c r="M67" s="4"/>
      <c r="N67" s="4"/>
      <c r="O67" s="4"/>
    </row>
    <row r="68" spans="12:15" x14ac:dyDescent="0.25">
      <c r="L68" s="1"/>
      <c r="M68" s="4"/>
      <c r="N68" s="4"/>
      <c r="O68" s="4"/>
    </row>
    <row r="69" spans="12:15" x14ac:dyDescent="0.25">
      <c r="L69" s="1"/>
      <c r="M69" s="4"/>
      <c r="N69" s="4"/>
      <c r="O69" s="4"/>
    </row>
    <row r="70" spans="12:15" x14ac:dyDescent="0.25">
      <c r="L70" s="1"/>
      <c r="M70" s="4"/>
      <c r="N70" s="4"/>
      <c r="O70" s="4"/>
    </row>
    <row r="71" spans="12:15" x14ac:dyDescent="0.25">
      <c r="L71" s="1"/>
      <c r="M71" s="4"/>
      <c r="N71" s="4"/>
      <c r="O71" s="4"/>
    </row>
    <row r="72" spans="12:15" x14ac:dyDescent="0.25">
      <c r="L72" s="1"/>
      <c r="M72" s="4"/>
      <c r="N72" s="4"/>
      <c r="O72" s="4"/>
    </row>
    <row r="73" spans="12:15" x14ac:dyDescent="0.25">
      <c r="L73" s="1"/>
      <c r="M73" s="4"/>
      <c r="N73" s="4"/>
      <c r="O73" s="4"/>
    </row>
    <row r="74" spans="12:15" x14ac:dyDescent="0.25">
      <c r="L74" s="1"/>
      <c r="M74" s="4"/>
      <c r="N74" s="4"/>
      <c r="O74" s="4"/>
    </row>
    <row r="75" spans="12:15" x14ac:dyDescent="0.25">
      <c r="L75" s="1"/>
      <c r="M75" s="4"/>
      <c r="N75" s="4"/>
      <c r="O75" s="4"/>
    </row>
    <row r="76" spans="12:15" x14ac:dyDescent="0.25">
      <c r="L76" s="1"/>
      <c r="M76" s="4"/>
      <c r="N76" s="4"/>
      <c r="O76" s="4"/>
    </row>
    <row r="77" spans="12:15" x14ac:dyDescent="0.25">
      <c r="L77" s="1"/>
      <c r="M77" s="4"/>
      <c r="N77" s="4"/>
      <c r="O77" s="4"/>
    </row>
    <row r="78" spans="12:15" x14ac:dyDescent="0.25">
      <c r="L78" s="1"/>
      <c r="M78" s="4"/>
      <c r="N78" s="4"/>
      <c r="O78" s="4"/>
    </row>
    <row r="79" spans="12:15" x14ac:dyDescent="0.25">
      <c r="L79" s="1"/>
      <c r="M79" s="4"/>
      <c r="N79" s="4"/>
      <c r="O79" s="4"/>
    </row>
    <row r="80" spans="12:15" x14ac:dyDescent="0.25">
      <c r="L80" s="1"/>
      <c r="M80" s="4"/>
      <c r="N80" s="4"/>
      <c r="O80" s="4"/>
    </row>
    <row r="81" spans="12:15" x14ac:dyDescent="0.25">
      <c r="L81" s="1"/>
      <c r="M81" s="4"/>
      <c r="N81" s="4"/>
      <c r="O81" s="4"/>
    </row>
    <row r="82" spans="12:15" x14ac:dyDescent="0.25">
      <c r="L82" s="1"/>
      <c r="M82" s="4"/>
      <c r="N82" s="4"/>
      <c r="O82" s="4"/>
    </row>
    <row r="83" spans="12:15" x14ac:dyDescent="0.25">
      <c r="L83" s="1"/>
      <c r="M83" s="4"/>
      <c r="N83" s="4"/>
      <c r="O83" s="4"/>
    </row>
    <row r="84" spans="12:15" x14ac:dyDescent="0.25">
      <c r="L84" s="1"/>
      <c r="M84" s="4"/>
      <c r="N84" s="4"/>
      <c r="O84" s="4"/>
    </row>
    <row r="85" spans="12:15" x14ac:dyDescent="0.25">
      <c r="L85" s="1"/>
      <c r="M85" s="4"/>
      <c r="N85" s="4"/>
      <c r="O85" s="4"/>
    </row>
    <row r="86" spans="12:15" x14ac:dyDescent="0.25">
      <c r="L86" s="1"/>
      <c r="M86" s="4"/>
      <c r="N86" s="4"/>
      <c r="O86" s="4"/>
    </row>
    <row r="87" spans="12:15" x14ac:dyDescent="0.25">
      <c r="L87" s="1"/>
      <c r="M87" s="4"/>
      <c r="N87" s="4"/>
      <c r="O87" s="4"/>
    </row>
    <row r="88" spans="12:15" x14ac:dyDescent="0.25">
      <c r="L88" s="1"/>
      <c r="M88" s="4"/>
      <c r="N88" s="4"/>
      <c r="O88" s="4"/>
    </row>
    <row r="89" spans="12:15" x14ac:dyDescent="0.25">
      <c r="L89" s="1"/>
      <c r="M89" s="4"/>
      <c r="N89" s="4"/>
      <c r="O89" s="4"/>
    </row>
    <row r="90" spans="12:15" x14ac:dyDescent="0.25">
      <c r="L90" s="1"/>
      <c r="M90" s="4"/>
      <c r="N90" s="4"/>
      <c r="O90" s="4"/>
    </row>
    <row r="91" spans="12:15" x14ac:dyDescent="0.25">
      <c r="L91" s="1"/>
      <c r="M91" s="4"/>
      <c r="N91" s="4"/>
      <c r="O91" s="4"/>
    </row>
    <row r="92" spans="12:15" x14ac:dyDescent="0.25">
      <c r="L92" s="1"/>
      <c r="M92" s="4"/>
      <c r="N92" s="4"/>
      <c r="O92" s="4"/>
    </row>
    <row r="93" spans="12:15" x14ac:dyDescent="0.25">
      <c r="L93" s="1"/>
      <c r="M93" s="4"/>
      <c r="N93" s="4"/>
      <c r="O93" s="4"/>
    </row>
    <row r="94" spans="12:15" x14ac:dyDescent="0.25">
      <c r="L94" s="1"/>
      <c r="M94" s="4"/>
      <c r="N94" s="4"/>
      <c r="O94" s="4"/>
    </row>
    <row r="95" spans="12:15" x14ac:dyDescent="0.25">
      <c r="L95" s="1"/>
      <c r="M95" s="4"/>
      <c r="N95" s="4"/>
      <c r="O95" s="4"/>
    </row>
    <row r="96" spans="12:15" x14ac:dyDescent="0.25">
      <c r="L96" s="1"/>
      <c r="M96" s="4"/>
      <c r="N96" s="4"/>
      <c r="O96" s="4"/>
    </row>
    <row r="97" spans="12:15" x14ac:dyDescent="0.25">
      <c r="L97" s="1"/>
      <c r="M97" s="4"/>
      <c r="N97" s="4"/>
      <c r="O97" s="4"/>
    </row>
    <row r="98" spans="12:15" x14ac:dyDescent="0.25">
      <c r="L98" s="1"/>
      <c r="M98" s="4"/>
      <c r="N98" s="4"/>
      <c r="O98" s="4"/>
    </row>
    <row r="99" spans="12:15" x14ac:dyDescent="0.25">
      <c r="L99" s="1"/>
      <c r="M99" s="4"/>
      <c r="N99" s="4"/>
      <c r="O99" s="4"/>
    </row>
    <row r="100" spans="12:15" x14ac:dyDescent="0.25">
      <c r="L100" s="1"/>
      <c r="M100" s="4"/>
      <c r="N100" s="4"/>
      <c r="O100" s="4"/>
    </row>
    <row r="101" spans="12:15" x14ac:dyDescent="0.25">
      <c r="L101" s="1"/>
      <c r="M101" s="4"/>
      <c r="N101" s="4"/>
      <c r="O10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Rendelés</vt:lpstr>
      <vt:lpstr>Rendelés_számítások_megoldás</vt:lpstr>
      <vt:lpstr>Rendelés_formázás_megoldás</vt:lpstr>
      <vt:lpstr>Rendelés_rendezés_megoldás</vt:lpstr>
      <vt:lpstr>Rendelés_szűrés_megoldás</vt:lpstr>
      <vt:lpstr>Rendelés_formázás_megoldás!minimum</vt:lpstr>
      <vt:lpstr>Rendelés_rendezés_megoldás!minimum</vt:lpstr>
      <vt:lpstr>Rendelés_szűrés_megoldás!minimum</vt:lpstr>
      <vt:lpstr>minimum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Data</dc:title>
  <dc:subject/>
  <dc:creator>Unknown Creator</dc:creator>
  <cp:keywords/>
  <dc:description/>
  <cp:lastModifiedBy>Ildikó Szabó</cp:lastModifiedBy>
  <dcterms:created xsi:type="dcterms:W3CDTF">2021-08-20T08:48:14Z</dcterms:created>
  <dcterms:modified xsi:type="dcterms:W3CDTF">2021-08-22T15:10:37Z</dcterms:modified>
  <cp:category/>
</cp:coreProperties>
</file>